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613532-D5EA-42A0-A9FB-64744C4A654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revisão 2021 - Taxa Ordinária" sheetId="1" r:id="rId1"/>
    <sheet name="Previsão 2021 - Despesas Extra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C4" i="3" l="1"/>
  <c r="P80" i="1"/>
  <c r="R80" i="1" s="1"/>
  <c r="S80" i="1" s="1"/>
  <c r="P81" i="1"/>
  <c r="B12" i="3"/>
  <c r="R81" i="1" l="1"/>
  <c r="S81" i="1" s="1"/>
  <c r="P83" i="1"/>
  <c r="B11" i="3"/>
  <c r="C11" i="3" s="1"/>
  <c r="B10" i="3"/>
  <c r="C10" i="3" s="1"/>
  <c r="B7" i="3"/>
  <c r="C7" i="3" s="1"/>
  <c r="B6" i="3"/>
  <c r="B8" i="3"/>
  <c r="C8" i="3" s="1"/>
  <c r="B9" i="3"/>
  <c r="C9" i="3" s="1"/>
  <c r="C12" i="3"/>
  <c r="B13" i="3" l="1"/>
  <c r="B16" i="3" s="1"/>
  <c r="B17" i="3" s="1"/>
  <c r="B21" i="3" s="1"/>
  <c r="B22" i="3" s="1"/>
  <c r="C6" i="3"/>
  <c r="C5" i="3"/>
  <c r="N5" i="1" l="1"/>
  <c r="O5" i="1" s="1"/>
  <c r="R5" i="1"/>
  <c r="S5" i="1" s="1"/>
  <c r="N6" i="1"/>
  <c r="O6" i="1" s="1"/>
  <c r="R6" i="1"/>
  <c r="S6" i="1" s="1"/>
  <c r="N7" i="1"/>
  <c r="O7" i="1" s="1"/>
  <c r="R7" i="1"/>
  <c r="S7" i="1" s="1"/>
  <c r="N8" i="1"/>
  <c r="O8" i="1" s="1"/>
  <c r="R8" i="1"/>
  <c r="S8" i="1" s="1"/>
  <c r="N9" i="1"/>
  <c r="O9" i="1" s="1"/>
  <c r="R9" i="1"/>
  <c r="S9" i="1" s="1"/>
  <c r="N10" i="1"/>
  <c r="O10" i="1" s="1"/>
  <c r="R10" i="1"/>
  <c r="S10" i="1" s="1"/>
  <c r="N11" i="1"/>
  <c r="O11" i="1" s="1"/>
  <c r="P11" i="1"/>
  <c r="R11" i="1" s="1"/>
  <c r="S11" i="1" s="1"/>
  <c r="N12" i="1"/>
  <c r="O12" i="1" s="1"/>
  <c r="P12" i="1"/>
  <c r="R12" i="1" s="1"/>
  <c r="N13" i="1"/>
  <c r="O13" i="1" s="1"/>
  <c r="P13" i="1"/>
  <c r="R13" i="1" s="1"/>
  <c r="S13" i="1" s="1"/>
  <c r="N14" i="1"/>
  <c r="O14" i="1" s="1"/>
  <c r="P14" i="1"/>
  <c r="R14" i="1" s="1"/>
  <c r="S14" i="1" s="1"/>
  <c r="N15" i="1"/>
  <c r="O15" i="1" s="1"/>
  <c r="P15" i="1"/>
  <c r="R15" i="1" s="1"/>
  <c r="S15" i="1" s="1"/>
  <c r="N16" i="1"/>
  <c r="O16" i="1" s="1"/>
  <c r="R16" i="1"/>
  <c r="S16" i="1" s="1"/>
  <c r="N17" i="1"/>
  <c r="O17" i="1" s="1"/>
  <c r="R17" i="1"/>
  <c r="S17" i="1" s="1"/>
  <c r="N18" i="1"/>
  <c r="O18" i="1" s="1"/>
  <c r="R18" i="1"/>
  <c r="S18" i="1" s="1"/>
  <c r="N19" i="1"/>
  <c r="O19" i="1" s="1"/>
  <c r="R19" i="1"/>
  <c r="S19" i="1" s="1"/>
  <c r="N20" i="1"/>
  <c r="O20" i="1" s="1"/>
  <c r="R20" i="1"/>
  <c r="S20" i="1" s="1"/>
  <c r="N21" i="1"/>
  <c r="O21" i="1" s="1"/>
  <c r="P21" i="1"/>
  <c r="R21" i="1" s="1"/>
  <c r="S21" i="1" s="1"/>
  <c r="N22" i="1"/>
  <c r="O22" i="1" s="1"/>
  <c r="P22" i="1"/>
  <c r="R22" i="1" s="1"/>
  <c r="S22" i="1" s="1"/>
  <c r="N23" i="1"/>
  <c r="O23" i="1" s="1"/>
  <c r="R23" i="1"/>
  <c r="S23" i="1" s="1"/>
  <c r="N24" i="1"/>
  <c r="O24" i="1" s="1"/>
  <c r="R24" i="1"/>
  <c r="S24" i="1" s="1"/>
  <c r="N25" i="1"/>
  <c r="O25" i="1" s="1"/>
  <c r="P25" i="1"/>
  <c r="R25" i="1" s="1"/>
  <c r="S25" i="1" s="1"/>
  <c r="N26" i="1"/>
  <c r="O26" i="1" s="1"/>
  <c r="R26" i="1"/>
  <c r="S26" i="1" s="1"/>
  <c r="N27" i="1"/>
  <c r="O27" i="1" s="1"/>
  <c r="R27" i="1"/>
  <c r="S27" i="1" s="1"/>
  <c r="N28" i="1"/>
  <c r="O28" i="1" s="1"/>
  <c r="R28" i="1"/>
  <c r="S28" i="1" s="1"/>
  <c r="B29" i="1"/>
  <c r="C29" i="1"/>
  <c r="D29" i="1"/>
  <c r="E29" i="1"/>
  <c r="F29" i="1"/>
  <c r="G29" i="1"/>
  <c r="H29" i="1"/>
  <c r="I29" i="1"/>
  <c r="J29" i="1"/>
  <c r="K29" i="1"/>
  <c r="L29" i="1"/>
  <c r="M29" i="1"/>
  <c r="N31" i="1"/>
  <c r="O31" i="1" s="1"/>
  <c r="R31" i="1"/>
  <c r="N32" i="1"/>
  <c r="O32" i="1" s="1"/>
  <c r="N33" i="1"/>
  <c r="O33" i="1" s="1"/>
  <c r="R33" i="1"/>
  <c r="S33" i="1" s="1"/>
  <c r="N34" i="1"/>
  <c r="O34" i="1" s="1"/>
  <c r="R34" i="1"/>
  <c r="S34" i="1" s="1"/>
  <c r="N35" i="1"/>
  <c r="O35" i="1" s="1"/>
  <c r="R35" i="1"/>
  <c r="S35" i="1" s="1"/>
  <c r="N36" i="1"/>
  <c r="O36" i="1" s="1"/>
  <c r="R36" i="1"/>
  <c r="S36" i="1" s="1"/>
  <c r="N37" i="1"/>
  <c r="O37" i="1" s="1"/>
  <c r="R37" i="1"/>
  <c r="S37" i="1" s="1"/>
  <c r="N38" i="1"/>
  <c r="O38" i="1" s="1"/>
  <c r="R38" i="1"/>
  <c r="S38" i="1" s="1"/>
  <c r="N39" i="1"/>
  <c r="O39" i="1" s="1"/>
  <c r="R39" i="1"/>
  <c r="S39" i="1" s="1"/>
  <c r="N40" i="1"/>
  <c r="O40" i="1" s="1"/>
  <c r="R40" i="1"/>
  <c r="S40" i="1" s="1"/>
  <c r="N41" i="1"/>
  <c r="O41" i="1" s="1"/>
  <c r="R41" i="1"/>
  <c r="S41" i="1" s="1"/>
  <c r="N42" i="1"/>
  <c r="O42" i="1" s="1"/>
  <c r="R42" i="1"/>
  <c r="S42" i="1" s="1"/>
  <c r="N43" i="1"/>
  <c r="O43" i="1" s="1"/>
  <c r="R43" i="1"/>
  <c r="S43" i="1" s="1"/>
  <c r="N44" i="1"/>
  <c r="O44" i="1" s="1"/>
  <c r="P44" i="1"/>
  <c r="R44" i="1" s="1"/>
  <c r="S44" i="1" s="1"/>
  <c r="N45" i="1"/>
  <c r="O45" i="1" s="1"/>
  <c r="R45" i="1"/>
  <c r="S45" i="1" s="1"/>
  <c r="N46" i="1"/>
  <c r="O46" i="1" s="1"/>
  <c r="R46" i="1"/>
  <c r="S46" i="1" s="1"/>
  <c r="N47" i="1"/>
  <c r="O47" i="1" s="1"/>
  <c r="P47" i="1"/>
  <c r="R47" i="1" s="1"/>
  <c r="S47" i="1" s="1"/>
  <c r="N48" i="1"/>
  <c r="O48" i="1" s="1"/>
  <c r="R48" i="1"/>
  <c r="S48" i="1" s="1"/>
  <c r="N49" i="1"/>
  <c r="O49" i="1" s="1"/>
  <c r="R49" i="1"/>
  <c r="S49" i="1" s="1"/>
  <c r="N50" i="1"/>
  <c r="O50" i="1" s="1"/>
  <c r="R50" i="1"/>
  <c r="S50" i="1" s="1"/>
  <c r="N51" i="1"/>
  <c r="O51" i="1" s="1"/>
  <c r="P51" i="1"/>
  <c r="R51" i="1" s="1"/>
  <c r="S51" i="1" s="1"/>
  <c r="N52" i="1"/>
  <c r="O52" i="1" s="1"/>
  <c r="R52" i="1"/>
  <c r="S52" i="1" s="1"/>
  <c r="N53" i="1"/>
  <c r="O53" i="1" s="1"/>
  <c r="R53" i="1"/>
  <c r="S53" i="1" s="1"/>
  <c r="N54" i="1"/>
  <c r="O54" i="1" s="1"/>
  <c r="R54" i="1"/>
  <c r="S54" i="1" s="1"/>
  <c r="N55" i="1"/>
  <c r="O55" i="1" s="1"/>
  <c r="R55" i="1"/>
  <c r="S55" i="1" s="1"/>
  <c r="N56" i="1"/>
  <c r="O56" i="1" s="1"/>
  <c r="R56" i="1"/>
  <c r="S56" i="1" s="1"/>
  <c r="N57" i="1"/>
  <c r="O57" i="1" s="1"/>
  <c r="R57" i="1"/>
  <c r="S57" i="1" s="1"/>
  <c r="N58" i="1"/>
  <c r="O58" i="1" s="1"/>
  <c r="R58" i="1"/>
  <c r="S58" i="1" s="1"/>
  <c r="N59" i="1"/>
  <c r="O59" i="1" s="1"/>
  <c r="R59" i="1"/>
  <c r="S59" i="1" s="1"/>
  <c r="N60" i="1"/>
  <c r="O60" i="1" s="1"/>
  <c r="R60" i="1"/>
  <c r="S60" i="1" s="1"/>
  <c r="N61" i="1"/>
  <c r="O61" i="1" s="1"/>
  <c r="R61" i="1"/>
  <c r="S61" i="1" s="1"/>
  <c r="N62" i="1"/>
  <c r="O62" i="1" s="1"/>
  <c r="R62" i="1"/>
  <c r="S62" i="1" s="1"/>
  <c r="B63" i="1"/>
  <c r="C63" i="1"/>
  <c r="D63" i="1"/>
  <c r="E63" i="1"/>
  <c r="F63" i="1"/>
  <c r="G63" i="1"/>
  <c r="H63" i="1"/>
  <c r="I63" i="1"/>
  <c r="J63" i="1"/>
  <c r="K63" i="1"/>
  <c r="L63" i="1"/>
  <c r="M63" i="1"/>
  <c r="N65" i="1"/>
  <c r="O65" i="1" s="1"/>
  <c r="R65" i="1"/>
  <c r="S65" i="1" s="1"/>
  <c r="N66" i="1"/>
  <c r="O66" i="1" s="1"/>
  <c r="S66" i="1"/>
  <c r="N67" i="1"/>
  <c r="O67" i="1" s="1"/>
  <c r="R67" i="1"/>
  <c r="S67" i="1" s="1"/>
  <c r="N68" i="1"/>
  <c r="O68" i="1" s="1"/>
  <c r="R68" i="1"/>
  <c r="S68" i="1" s="1"/>
  <c r="N69" i="1"/>
  <c r="O69" i="1" s="1"/>
  <c r="R69" i="1"/>
  <c r="S69" i="1" s="1"/>
  <c r="N70" i="1"/>
  <c r="O70" i="1" s="1"/>
  <c r="R70" i="1"/>
  <c r="S70" i="1" s="1"/>
  <c r="N71" i="1"/>
  <c r="O71" i="1" s="1"/>
  <c r="R71" i="1"/>
  <c r="S71" i="1" s="1"/>
  <c r="N72" i="1"/>
  <c r="O72" i="1" s="1"/>
  <c r="R72" i="1"/>
  <c r="S72" i="1" s="1"/>
  <c r="N73" i="1"/>
  <c r="O73" i="1" s="1"/>
  <c r="R73" i="1"/>
  <c r="S73" i="1" s="1"/>
  <c r="N74" i="1"/>
  <c r="O74" i="1" s="1"/>
  <c r="R74" i="1"/>
  <c r="S74" i="1" s="1"/>
  <c r="N75" i="1"/>
  <c r="O75" i="1" s="1"/>
  <c r="R75" i="1"/>
  <c r="S75" i="1" s="1"/>
  <c r="N76" i="1"/>
  <c r="O76" i="1" s="1"/>
  <c r="R76" i="1"/>
  <c r="S76" i="1" s="1"/>
  <c r="N77" i="1"/>
  <c r="O77" i="1" s="1"/>
  <c r="R77" i="1"/>
  <c r="S77" i="1" s="1"/>
  <c r="N78" i="1"/>
  <c r="O78" i="1" s="1"/>
  <c r="R78" i="1"/>
  <c r="S78" i="1" s="1"/>
  <c r="N79" i="1"/>
  <c r="O79" i="1" s="1"/>
  <c r="R79" i="1"/>
  <c r="S79" i="1" s="1"/>
  <c r="N82" i="1"/>
  <c r="O82" i="1" s="1"/>
  <c r="R82" i="1"/>
  <c r="S82" i="1" s="1"/>
  <c r="B83" i="1"/>
  <c r="C83" i="1"/>
  <c r="D83" i="1"/>
  <c r="E83" i="1"/>
  <c r="F83" i="1"/>
  <c r="G83" i="1"/>
  <c r="H83" i="1"/>
  <c r="I83" i="1"/>
  <c r="J83" i="1"/>
  <c r="K83" i="1"/>
  <c r="L83" i="1"/>
  <c r="M83" i="1"/>
  <c r="N85" i="1"/>
  <c r="O85" i="1" s="1"/>
  <c r="R85" i="1"/>
  <c r="R86" i="1" s="1"/>
  <c r="B86" i="1"/>
  <c r="C86" i="1"/>
  <c r="D86" i="1"/>
  <c r="E86" i="1"/>
  <c r="F86" i="1"/>
  <c r="G86" i="1"/>
  <c r="H86" i="1"/>
  <c r="I86" i="1"/>
  <c r="J86" i="1"/>
  <c r="K86" i="1"/>
  <c r="L86" i="1"/>
  <c r="M86" i="1"/>
  <c r="P86" i="1"/>
  <c r="N88" i="1"/>
  <c r="O88" i="1" s="1"/>
  <c r="R88" i="1"/>
  <c r="S88" i="1" s="1"/>
  <c r="N89" i="1"/>
  <c r="O89" i="1" s="1"/>
  <c r="P89" i="1"/>
  <c r="R89" i="1" s="1"/>
  <c r="S89" i="1" s="1"/>
  <c r="N90" i="1"/>
  <c r="O90" i="1" s="1"/>
  <c r="P90" i="1"/>
  <c r="R90" i="1" s="1"/>
  <c r="S90" i="1" s="1"/>
  <c r="N91" i="1"/>
  <c r="O91" i="1" s="1"/>
  <c r="R91" i="1"/>
  <c r="S91" i="1" s="1"/>
  <c r="B92" i="1"/>
  <c r="C92" i="1"/>
  <c r="D92" i="1"/>
  <c r="E92" i="1"/>
  <c r="F92" i="1"/>
  <c r="G92" i="1"/>
  <c r="H92" i="1"/>
  <c r="I92" i="1"/>
  <c r="J92" i="1"/>
  <c r="K92" i="1"/>
  <c r="L92" i="1"/>
  <c r="M92" i="1"/>
  <c r="N94" i="1"/>
  <c r="O94" i="1" s="1"/>
  <c r="R94" i="1"/>
  <c r="S94" i="1" s="1"/>
  <c r="N95" i="1"/>
  <c r="O95" i="1" s="1"/>
  <c r="R95" i="1"/>
  <c r="S95" i="1" s="1"/>
  <c r="N96" i="1"/>
  <c r="O96" i="1" s="1"/>
  <c r="R96" i="1"/>
  <c r="S96" i="1" s="1"/>
  <c r="N97" i="1"/>
  <c r="O97" i="1" s="1"/>
  <c r="R97" i="1"/>
  <c r="S97" i="1" s="1"/>
  <c r="N98" i="1"/>
  <c r="O98" i="1" s="1"/>
  <c r="R98" i="1"/>
  <c r="S98" i="1" s="1"/>
  <c r="N99" i="1"/>
  <c r="O99" i="1" s="1"/>
  <c r="R99" i="1"/>
  <c r="S99" i="1" s="1"/>
  <c r="B100" i="1"/>
  <c r="C100" i="1"/>
  <c r="D100" i="1"/>
  <c r="E100" i="1"/>
  <c r="F100" i="1"/>
  <c r="G100" i="1"/>
  <c r="H100" i="1"/>
  <c r="I100" i="1"/>
  <c r="J100" i="1"/>
  <c r="K100" i="1"/>
  <c r="L100" i="1"/>
  <c r="M100" i="1"/>
  <c r="P100" i="1"/>
  <c r="N102" i="1"/>
  <c r="O102" i="1" s="1"/>
  <c r="R102" i="1"/>
  <c r="S102" i="1" s="1"/>
  <c r="N103" i="1"/>
  <c r="O103" i="1" s="1"/>
  <c r="R103" i="1"/>
  <c r="S103" i="1" s="1"/>
  <c r="N104" i="1"/>
  <c r="O104" i="1" s="1"/>
  <c r="R104" i="1"/>
  <c r="S104" i="1" s="1"/>
  <c r="N105" i="1"/>
  <c r="O105" i="1" s="1"/>
  <c r="R105" i="1"/>
  <c r="S105" i="1" s="1"/>
  <c r="N106" i="1"/>
  <c r="O106" i="1" s="1"/>
  <c r="R106" i="1"/>
  <c r="S106" i="1" s="1"/>
  <c r="N107" i="1"/>
  <c r="O107" i="1" s="1"/>
  <c r="R107" i="1"/>
  <c r="S107" i="1" s="1"/>
  <c r="B108" i="1"/>
  <c r="C108" i="1"/>
  <c r="D108" i="1"/>
  <c r="E108" i="1"/>
  <c r="F108" i="1"/>
  <c r="G108" i="1"/>
  <c r="H108" i="1"/>
  <c r="I108" i="1"/>
  <c r="J108" i="1"/>
  <c r="K108" i="1"/>
  <c r="L108" i="1"/>
  <c r="M108" i="1"/>
  <c r="P108" i="1"/>
  <c r="N110" i="1"/>
  <c r="O110" i="1" s="1"/>
  <c r="R110" i="1"/>
  <c r="S110" i="1" s="1"/>
  <c r="N111" i="1"/>
  <c r="O111" i="1" s="1"/>
  <c r="R111" i="1"/>
  <c r="S111" i="1" s="1"/>
  <c r="B112" i="1"/>
  <c r="C112" i="1"/>
  <c r="D112" i="1"/>
  <c r="E112" i="1"/>
  <c r="F112" i="1"/>
  <c r="G112" i="1"/>
  <c r="H112" i="1"/>
  <c r="I112" i="1"/>
  <c r="J112" i="1"/>
  <c r="K112" i="1"/>
  <c r="L112" i="1"/>
  <c r="M112" i="1"/>
  <c r="P112" i="1"/>
  <c r="N114" i="1"/>
  <c r="O114" i="1" s="1"/>
  <c r="R114" i="1"/>
  <c r="S114" i="1" s="1"/>
  <c r="N115" i="1"/>
  <c r="O115" i="1" s="1"/>
  <c r="R115" i="1"/>
  <c r="S115" i="1" s="1"/>
  <c r="N116" i="1"/>
  <c r="O116" i="1" s="1"/>
  <c r="R116" i="1"/>
  <c r="S116" i="1" s="1"/>
  <c r="N117" i="1"/>
  <c r="O117" i="1" s="1"/>
  <c r="R117" i="1"/>
  <c r="S117" i="1" s="1"/>
  <c r="N118" i="1"/>
  <c r="O118" i="1" s="1"/>
  <c r="R118" i="1"/>
  <c r="S118" i="1" s="1"/>
  <c r="N119" i="1"/>
  <c r="O119" i="1" s="1"/>
  <c r="R119" i="1"/>
  <c r="S119" i="1" s="1"/>
  <c r="N120" i="1"/>
  <c r="O120" i="1" s="1"/>
  <c r="R120" i="1"/>
  <c r="S120" i="1" s="1"/>
  <c r="N121" i="1"/>
  <c r="O121" i="1" s="1"/>
  <c r="R121" i="1"/>
  <c r="S121" i="1" s="1"/>
  <c r="B122" i="1"/>
  <c r="C122" i="1"/>
  <c r="D122" i="1"/>
  <c r="E122" i="1"/>
  <c r="F122" i="1"/>
  <c r="G122" i="1"/>
  <c r="H122" i="1"/>
  <c r="I122" i="1"/>
  <c r="J122" i="1"/>
  <c r="K122" i="1"/>
  <c r="L122" i="1"/>
  <c r="M122" i="1"/>
  <c r="P122" i="1"/>
  <c r="N124" i="1"/>
  <c r="O124" i="1" s="1"/>
  <c r="R124" i="1"/>
  <c r="S124" i="1" s="1"/>
  <c r="N125" i="1"/>
  <c r="O125" i="1" s="1"/>
  <c r="R125" i="1"/>
  <c r="S125" i="1" s="1"/>
  <c r="N126" i="1"/>
  <c r="O126" i="1" s="1"/>
  <c r="R126" i="1"/>
  <c r="S126" i="1" s="1"/>
  <c r="N127" i="1"/>
  <c r="O127" i="1" s="1"/>
  <c r="R127" i="1"/>
  <c r="S127" i="1" s="1"/>
  <c r="N128" i="1"/>
  <c r="O128" i="1" s="1"/>
  <c r="R128" i="1"/>
  <c r="S128" i="1" s="1"/>
  <c r="B129" i="1"/>
  <c r="C129" i="1"/>
  <c r="D129" i="1"/>
  <c r="E129" i="1"/>
  <c r="F129" i="1"/>
  <c r="G129" i="1"/>
  <c r="H129" i="1"/>
  <c r="I129" i="1"/>
  <c r="J129" i="1"/>
  <c r="K129" i="1"/>
  <c r="L129" i="1"/>
  <c r="M129" i="1"/>
  <c r="P129" i="1"/>
  <c r="N131" i="1"/>
  <c r="O131" i="1" s="1"/>
  <c r="R131" i="1"/>
  <c r="S131" i="1" s="1"/>
  <c r="N132" i="1"/>
  <c r="O132" i="1" s="1"/>
  <c r="R132" i="1"/>
  <c r="S132" i="1" s="1"/>
  <c r="N133" i="1"/>
  <c r="O133" i="1" s="1"/>
  <c r="R133" i="1"/>
  <c r="S133" i="1" s="1"/>
  <c r="B134" i="1"/>
  <c r="C134" i="1"/>
  <c r="D134" i="1"/>
  <c r="E134" i="1"/>
  <c r="F134" i="1"/>
  <c r="G134" i="1"/>
  <c r="H134" i="1"/>
  <c r="I134" i="1"/>
  <c r="J134" i="1"/>
  <c r="K134" i="1"/>
  <c r="L134" i="1"/>
  <c r="M134" i="1"/>
  <c r="P134" i="1"/>
  <c r="N136" i="1"/>
  <c r="O136" i="1" s="1"/>
  <c r="R136" i="1"/>
  <c r="S136" i="1" s="1"/>
  <c r="S137" i="1" s="1"/>
  <c r="B137" i="1"/>
  <c r="C137" i="1"/>
  <c r="D137" i="1"/>
  <c r="E137" i="1"/>
  <c r="F137" i="1"/>
  <c r="G137" i="1"/>
  <c r="H137" i="1"/>
  <c r="I137" i="1"/>
  <c r="J137" i="1"/>
  <c r="K137" i="1"/>
  <c r="L137" i="1"/>
  <c r="M137" i="1"/>
  <c r="P137" i="1"/>
  <c r="N139" i="1"/>
  <c r="O139" i="1" s="1"/>
  <c r="R139" i="1"/>
  <c r="S139" i="1" s="1"/>
  <c r="N140" i="1"/>
  <c r="O140" i="1" s="1"/>
  <c r="R140" i="1"/>
  <c r="S140" i="1" s="1"/>
  <c r="N141" i="1"/>
  <c r="O141" i="1" s="1"/>
  <c r="R141" i="1"/>
  <c r="S141" i="1" s="1"/>
  <c r="N142" i="1"/>
  <c r="O142" i="1" s="1"/>
  <c r="R142" i="1"/>
  <c r="S142" i="1" s="1"/>
  <c r="N143" i="1"/>
  <c r="O143" i="1" s="1"/>
  <c r="R143" i="1"/>
  <c r="S143" i="1" s="1"/>
  <c r="N144" i="1"/>
  <c r="O144" i="1" s="1"/>
  <c r="R144" i="1"/>
  <c r="S144" i="1" s="1"/>
  <c r="B145" i="1"/>
  <c r="C145" i="1"/>
  <c r="D145" i="1"/>
  <c r="E145" i="1"/>
  <c r="F145" i="1"/>
  <c r="G145" i="1"/>
  <c r="H145" i="1"/>
  <c r="I145" i="1"/>
  <c r="J145" i="1"/>
  <c r="K145" i="1"/>
  <c r="L145" i="1"/>
  <c r="M145" i="1"/>
  <c r="P145" i="1"/>
  <c r="N147" i="1"/>
  <c r="O147" i="1" s="1"/>
  <c r="R147" i="1"/>
  <c r="S147" i="1" s="1"/>
  <c r="S148" i="1" s="1"/>
  <c r="B148" i="1"/>
  <c r="C148" i="1"/>
  <c r="D148" i="1"/>
  <c r="E148" i="1"/>
  <c r="F148" i="1"/>
  <c r="G148" i="1"/>
  <c r="H148" i="1"/>
  <c r="I148" i="1"/>
  <c r="J148" i="1"/>
  <c r="K148" i="1"/>
  <c r="L148" i="1"/>
  <c r="M148" i="1"/>
  <c r="P148" i="1"/>
  <c r="N150" i="1"/>
  <c r="O150" i="1" s="1"/>
  <c r="R150" i="1"/>
  <c r="S150" i="1" s="1"/>
  <c r="S151" i="1" s="1"/>
  <c r="B151" i="1"/>
  <c r="C151" i="1"/>
  <c r="D151" i="1"/>
  <c r="E151" i="1"/>
  <c r="F151" i="1"/>
  <c r="G151" i="1"/>
  <c r="H151" i="1"/>
  <c r="I151" i="1"/>
  <c r="J151" i="1"/>
  <c r="K151" i="1"/>
  <c r="L151" i="1"/>
  <c r="M151" i="1"/>
  <c r="P151" i="1"/>
  <c r="N153" i="1"/>
  <c r="O153" i="1" s="1"/>
  <c r="P153" i="1"/>
  <c r="R153" i="1" s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6" i="1"/>
  <c r="O156" i="1" s="1"/>
  <c r="R156" i="1"/>
  <c r="S156" i="1" s="1"/>
  <c r="N157" i="1"/>
  <c r="O157" i="1" s="1"/>
  <c r="R157" i="1"/>
  <c r="S157" i="1" s="1"/>
  <c r="N158" i="1"/>
  <c r="O158" i="1" s="1"/>
  <c r="R158" i="1"/>
  <c r="S158" i="1" s="1"/>
  <c r="B159" i="1"/>
  <c r="C159" i="1"/>
  <c r="D159" i="1"/>
  <c r="E159" i="1"/>
  <c r="F159" i="1"/>
  <c r="G159" i="1"/>
  <c r="H159" i="1"/>
  <c r="I159" i="1"/>
  <c r="J159" i="1"/>
  <c r="K159" i="1"/>
  <c r="L159" i="1"/>
  <c r="M159" i="1"/>
  <c r="P159" i="1"/>
  <c r="R161" i="1"/>
  <c r="O165" i="1"/>
  <c r="P165" i="1"/>
  <c r="Q165" i="1" s="1"/>
  <c r="R165" i="1" s="1"/>
  <c r="N171" i="1"/>
  <c r="N177" i="1" l="1"/>
  <c r="O171" i="1"/>
  <c r="S31" i="1"/>
  <c r="P32" i="1"/>
  <c r="R32" i="1" s="1"/>
  <c r="S32" i="1" s="1"/>
  <c r="P171" i="1"/>
  <c r="Q171" i="1" s="1"/>
  <c r="N92" i="1"/>
  <c r="O92" i="1" s="1"/>
  <c r="R151" i="1"/>
  <c r="R134" i="1"/>
  <c r="S134" i="1" s="1"/>
  <c r="R148" i="1"/>
  <c r="R145" i="1"/>
  <c r="I160" i="1"/>
  <c r="R83" i="1"/>
  <c r="N83" i="1"/>
  <c r="O83" i="1" s="1"/>
  <c r="S83" i="1"/>
  <c r="N159" i="1"/>
  <c r="O159" i="1" s="1"/>
  <c r="N148" i="1"/>
  <c r="O148" i="1" s="1"/>
  <c r="N137" i="1"/>
  <c r="O137" i="1" s="1"/>
  <c r="S85" i="1"/>
  <c r="S86" i="1" s="1"/>
  <c r="S159" i="1"/>
  <c r="M160" i="1"/>
  <c r="E160" i="1"/>
  <c r="N108" i="1"/>
  <c r="O108" i="1" s="1"/>
  <c r="R129" i="1"/>
  <c r="N112" i="1"/>
  <c r="O112" i="1" s="1"/>
  <c r="J160" i="1"/>
  <c r="F160" i="1"/>
  <c r="B160" i="1"/>
  <c r="S112" i="1"/>
  <c r="R100" i="1"/>
  <c r="S129" i="1"/>
  <c r="S108" i="1"/>
  <c r="S100" i="1"/>
  <c r="C160" i="1"/>
  <c r="D160" i="1"/>
  <c r="N134" i="1"/>
  <c r="O134" i="1" s="1"/>
  <c r="N122" i="1"/>
  <c r="O122" i="1" s="1"/>
  <c r="N86" i="1"/>
  <c r="O86" i="1" s="1"/>
  <c r="G160" i="1"/>
  <c r="H160" i="1"/>
  <c r="R159" i="1"/>
  <c r="N129" i="1"/>
  <c r="O129" i="1" s="1"/>
  <c r="R122" i="1"/>
  <c r="N100" i="1"/>
  <c r="O100" i="1" s="1"/>
  <c r="S92" i="1"/>
  <c r="K160" i="1"/>
  <c r="L160" i="1"/>
  <c r="N154" i="1"/>
  <c r="O154" i="1" s="1"/>
  <c r="N151" i="1"/>
  <c r="O151" i="1" s="1"/>
  <c r="N145" i="1"/>
  <c r="O145" i="1" s="1"/>
  <c r="R108" i="1"/>
  <c r="P92" i="1"/>
  <c r="S12" i="1"/>
  <c r="S29" i="1" s="1"/>
  <c r="R29" i="1"/>
  <c r="S122" i="1"/>
  <c r="S153" i="1"/>
  <c r="S154" i="1" s="1"/>
  <c r="R154" i="1"/>
  <c r="S145" i="1"/>
  <c r="S63" i="1"/>
  <c r="R171" i="1"/>
  <c r="P29" i="1"/>
  <c r="R92" i="1"/>
  <c r="N63" i="1"/>
  <c r="O63" i="1" s="1"/>
  <c r="P154" i="1"/>
  <c r="R137" i="1"/>
  <c r="R112" i="1"/>
  <c r="R63" i="1"/>
  <c r="N29" i="1"/>
  <c r="P63" i="1" l="1"/>
  <c r="P177" i="1"/>
  <c r="Q177" i="1" s="1"/>
  <c r="R177" i="1" s="1"/>
  <c r="O177" i="1"/>
  <c r="P160" i="1"/>
  <c r="S160" i="1"/>
  <c r="S162" i="1" s="1"/>
  <c r="R160" i="1"/>
  <c r="O29" i="1"/>
  <c r="O160" i="1" s="1"/>
  <c r="N160" i="1"/>
  <c r="N166" i="1" l="1"/>
  <c r="R162" i="1"/>
  <c r="N172" i="1" s="1"/>
  <c r="N178" i="1" s="1"/>
  <c r="O166" i="1" l="1"/>
  <c r="O167" i="1" s="1"/>
  <c r="N167" i="1"/>
  <c r="P166" i="1"/>
  <c r="P172" i="1"/>
  <c r="O172" i="1"/>
  <c r="O173" i="1" s="1"/>
  <c r="N173" i="1"/>
  <c r="Q172" i="1" l="1"/>
  <c r="Q173" i="1" s="1"/>
  <c r="P173" i="1"/>
  <c r="O178" i="1"/>
  <c r="O179" i="1" s="1"/>
  <c r="P178" i="1"/>
  <c r="N179" i="1"/>
  <c r="Q166" i="1"/>
  <c r="Q167" i="1" s="1"/>
  <c r="P167" i="1"/>
  <c r="C13" i="3"/>
  <c r="C16" i="3" s="1"/>
  <c r="C17" i="3" l="1"/>
  <c r="D16" i="3"/>
  <c r="C21" i="3"/>
  <c r="C22" i="3" s="1"/>
  <c r="R172" i="1"/>
  <c r="R173" i="1" s="1"/>
  <c r="R166" i="1"/>
  <c r="Q178" i="1"/>
  <c r="Q179" i="1" s="1"/>
  <c r="P179" i="1"/>
  <c r="E16" i="3" l="1"/>
  <c r="D17" i="3"/>
  <c r="S171" i="1"/>
  <c r="R178" i="1"/>
  <c r="R167" i="1"/>
  <c r="S165" i="1"/>
  <c r="S177" i="1" l="1"/>
  <c r="R179" i="1"/>
</calcChain>
</file>

<file path=xl/sharedStrings.xml><?xml version="1.0" encoding="utf-8"?>
<sst xmlns="http://schemas.openxmlformats.org/spreadsheetml/2006/main" count="244" uniqueCount="192">
  <si>
    <t>Taxa Ordinária</t>
  </si>
  <si>
    <t>Coleta de Lixo</t>
  </si>
  <si>
    <t>Honorários Advocatícios</t>
  </si>
  <si>
    <t>Despesas</t>
  </si>
  <si>
    <t>DESPESAS COM PESSOAL E ENCARGOS SOCIAIS</t>
  </si>
  <si>
    <t>Salários</t>
  </si>
  <si>
    <t>Pró-Labore (Síndico e Subsíndico)</t>
  </si>
  <si>
    <t>Vale Transporte</t>
  </si>
  <si>
    <t>Uniformes - EPI</t>
  </si>
  <si>
    <t>Abono Pecuniário de Férias</t>
  </si>
  <si>
    <t>13º Salário</t>
  </si>
  <si>
    <t>GPS s/ Folha</t>
  </si>
  <si>
    <t>FGTS</t>
  </si>
  <si>
    <t>PIS s/ Folha</t>
  </si>
  <si>
    <t>Contribuição Sindical</t>
  </si>
  <si>
    <t>Seguro de Vida dos Empregados</t>
  </si>
  <si>
    <t>Exame Admissional / Demissional</t>
  </si>
  <si>
    <t>IRRF</t>
  </si>
  <si>
    <t>Verbas Rescisórias</t>
  </si>
  <si>
    <t>DESPESAS ADMINISTRATIVAS</t>
  </si>
  <si>
    <t>Serviços Contábeis/Administrativos</t>
  </si>
  <si>
    <t>Despesas Cartorárias</t>
  </si>
  <si>
    <t>Despesas Postais</t>
  </si>
  <si>
    <t>Cópias, Encadernações e Digitalizações</t>
  </si>
  <si>
    <t>Material de Escritório e Informática</t>
  </si>
  <si>
    <t>Despesas com Alimentos/Lanches</t>
  </si>
  <si>
    <t>Telefone e Internet</t>
  </si>
  <si>
    <t>Despesas com Estacionamentos</t>
  </si>
  <si>
    <t>Despesas com Combustíveis/Lubrificantes</t>
  </si>
  <si>
    <t>Rateio Despesas da Portaria - Associação</t>
  </si>
  <si>
    <t>Publicação de Edital</t>
  </si>
  <si>
    <t>Locação de Ônibus</t>
  </si>
  <si>
    <t>DESP. COM MANUTENÇÃO E CONSERVAÇÃO</t>
  </si>
  <si>
    <t>Manut.Portões/CFTV/Interfones/Cancelas</t>
  </si>
  <si>
    <t>Serviços de Manutenção da Rede Elétrica</t>
  </si>
  <si>
    <t>Material Elétrico e Hidráulico</t>
  </si>
  <si>
    <t>Manutenção de Máquinas e Equipamentos</t>
  </si>
  <si>
    <t>Peças p/ Máquinas e Equipamentos</t>
  </si>
  <si>
    <t>Material de Limpeza e Conservação</t>
  </si>
  <si>
    <t>Material p/ Construção e Obras</t>
  </si>
  <si>
    <t>Material para Pintura</t>
  </si>
  <si>
    <t>SERVIÇOS PRESTADOS POR TERCEIROS</t>
  </si>
  <si>
    <t>TARIFAS PÚBLICAS</t>
  </si>
  <si>
    <t>Energia Elétrica</t>
  </si>
  <si>
    <t>Gás</t>
  </si>
  <si>
    <t>IPTU / TLP</t>
  </si>
  <si>
    <t>IPTU / TLP - Parcelamento</t>
  </si>
  <si>
    <t>BENS DE NATUREZA PERMANENTE</t>
  </si>
  <si>
    <t>OUTRAS DESPESAS</t>
  </si>
  <si>
    <t>DESPESAS CONSUMO DE ÁGUA</t>
  </si>
  <si>
    <t>Leitura de Hidrômetros</t>
  </si>
  <si>
    <t>Energia Elétrica - Poço</t>
  </si>
  <si>
    <t>Materiais e Serviços Diversos</t>
  </si>
  <si>
    <t>Tratamento de Água</t>
  </si>
  <si>
    <t>Locação de Máquinas e Equipamentos</t>
  </si>
  <si>
    <t>Aquisição de Asfalto Usinado</t>
  </si>
  <si>
    <t>DESPESAS RECUPERAÇÃO DE CRÉDITOS</t>
  </si>
  <si>
    <t>Cartórios e Custas Processuais</t>
  </si>
  <si>
    <t>DESPESAS COM MOTOS E VEÍCULOS</t>
  </si>
  <si>
    <t>Serviços/Peças para Veículos</t>
  </si>
  <si>
    <t>Serviços/Peças para Motos</t>
  </si>
  <si>
    <t>DESPESAS COM EVENTOS</t>
  </si>
  <si>
    <t>DESPESAS FINANCEIRAS / TRIBUTOS</t>
  </si>
  <si>
    <t>Despesas Bancárias</t>
  </si>
  <si>
    <t>Despesas Boletos Bancários</t>
  </si>
  <si>
    <t>IR Aplicação Financeira</t>
  </si>
  <si>
    <t>Índice de Correção</t>
  </si>
  <si>
    <t>Proj. Mensal</t>
  </si>
  <si>
    <t>Proj. Anual</t>
  </si>
  <si>
    <t>Total do Grupo:</t>
  </si>
  <si>
    <t>Total Geral:</t>
  </si>
  <si>
    <t>Mensal</t>
  </si>
  <si>
    <t>Anual</t>
  </si>
  <si>
    <t>DIFERENÇA</t>
  </si>
  <si>
    <t>Fundo de Reserva 5%</t>
  </si>
  <si>
    <t>Total Boleto</t>
  </si>
  <si>
    <t>Despesas com Seleção e Recrutamento</t>
  </si>
  <si>
    <t>Serviços de Recarga de Extintor</t>
  </si>
  <si>
    <t>Seguros</t>
  </si>
  <si>
    <t>DESPESAS COM SEGURANÇA E PORTARIA</t>
  </si>
  <si>
    <t>Férias</t>
  </si>
  <si>
    <t>Pensão Alimentícia</t>
  </si>
  <si>
    <t>Contribuição Assistencial</t>
  </si>
  <si>
    <t>Contribuição Confederativa</t>
  </si>
  <si>
    <t>Seguro Condominial</t>
  </si>
  <si>
    <t>Despesas com Transporte</t>
  </si>
  <si>
    <t>Serviços de Pintura de Faixa</t>
  </si>
  <si>
    <t>Despesas com Medicamentos</t>
  </si>
  <si>
    <t>Material para Jardim</t>
  </si>
  <si>
    <t>Manutenção/Limpeza Sistema de Drenagem</t>
  </si>
  <si>
    <t>Aquisição de Bens p/ Portaria</t>
  </si>
  <si>
    <t>Aquisição de Máquinas e Equipamentos</t>
  </si>
  <si>
    <t>Aquisição de Equipamentos p/ Segurança</t>
  </si>
  <si>
    <t>Manutenção da Bomba / Poço</t>
  </si>
  <si>
    <t>Aquisição de Hidrômetros/Cavaletes</t>
  </si>
  <si>
    <t>MANUTENÇÃO DE RUAS NÃO PAVIMENTADAS</t>
  </si>
  <si>
    <t>Consultoria Técnica</t>
  </si>
  <si>
    <t>MANUTENÇÃO DE RUAS PAVIMENTADAS</t>
  </si>
  <si>
    <t>IPVA e Taxa de Licenciamento</t>
  </si>
  <si>
    <t>Certificado Digital</t>
  </si>
  <si>
    <t>Gestão de Segurança</t>
  </si>
  <si>
    <t>Contribuição Negocial Patronal</t>
  </si>
  <si>
    <t>Despesas com Informativos / Comunicados</t>
  </si>
  <si>
    <t>Manutenção Internet/ Site/ Equip. Inform</t>
  </si>
  <si>
    <t>Serviços de Chaveiro</t>
  </si>
  <si>
    <t>Serviços de Manutenção e Conservação</t>
  </si>
  <si>
    <t>Material p/ Manutenção e Conservação</t>
  </si>
  <si>
    <t>Danos a terceiros</t>
  </si>
  <si>
    <t>Aquisição de Bombas</t>
  </si>
  <si>
    <t>Perfuração de Poço</t>
  </si>
  <si>
    <t>Despesas com Eventos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</si>
  <si>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</si>
  <si>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</si>
  <si>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</si>
  <si>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</si>
  <si>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</si>
  <si>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</si>
  <si>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</si>
  <si>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</si>
  <si>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</si>
  <si>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</si>
  <si>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</si>
  <si>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</si>
  <si>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Base p/ Previsão 2021</t>
  </si>
  <si>
    <t xml:space="preserve">PROJEÇÃO DO ORÇAMENTO PARA O EXERCÍCIO DE 2021   </t>
  </si>
  <si>
    <t>Vale Alimentação R$ 37,50 ao dia</t>
  </si>
  <si>
    <t>Mensalidade Sindical</t>
  </si>
  <si>
    <t>PMCO Laudo de Inaslubridade</t>
  </si>
  <si>
    <t>Teste RT - PCR COVID 19</t>
  </si>
  <si>
    <t>Bonificação</t>
  </si>
  <si>
    <t>Despesas em Assembléias / Reuniões</t>
  </si>
  <si>
    <t>Serviços Levantamento de Inadimplência</t>
  </si>
  <si>
    <t>Materiais da copa da Administração</t>
  </si>
  <si>
    <t>Monitoramento de CNPJ</t>
  </si>
  <si>
    <t>Serviços de Desentupidora e Dedetizadora</t>
  </si>
  <si>
    <t>Aquisição de Câmeras</t>
  </si>
  <si>
    <t>Aquisição de Bens p/ Copa e Cozinha</t>
  </si>
  <si>
    <t>Aquisição de Bens/ Objetos Para Sede</t>
  </si>
  <si>
    <t>Aquisição de Termômetros</t>
  </si>
  <si>
    <t>Aquisição de Lote por Dação em Pagamento</t>
  </si>
  <si>
    <t>Permuta de Lote</t>
  </si>
  <si>
    <t>Pagamento Indevido com Ressarcimento</t>
  </si>
  <si>
    <t>Cascalho para Manutenção da Via</t>
  </si>
  <si>
    <t>Poço com água bruta - manut vias não pav</t>
  </si>
  <si>
    <t>Aquisição de Motos</t>
  </si>
  <si>
    <t>DESPESAS COM ÁREAS COMUNS</t>
  </si>
  <si>
    <t>Cercamento de Áreas</t>
  </si>
  <si>
    <t>Seguro Odontológico</t>
  </si>
  <si>
    <t>Contribuição Associação Comunitária (MCJB)</t>
  </si>
  <si>
    <t>13ª Mensalidade Contabilidade</t>
  </si>
  <si>
    <t>Aquisição de Bens de Natureza Permanente</t>
  </si>
  <si>
    <t>Despesas com Animais (Castração)</t>
  </si>
  <si>
    <t>Despesas Diversas (Filtros e Etc)</t>
  </si>
  <si>
    <t>Despesas com Animais (Castração, Ração)</t>
  </si>
  <si>
    <t>Materiais e Serviços Diversos + (Equipamentos de Segurança)</t>
  </si>
  <si>
    <t>Rateio Despesas da Portaria - Associação (Provisão Ano 2020)</t>
  </si>
  <si>
    <t>(Previsão Vigente Ano 2020) - 886 Unidades</t>
  </si>
  <si>
    <t>Proposta Orçamentária Ano 2021 - 886 Unidades</t>
  </si>
  <si>
    <t>DESPESAS PROJETO DE EDUCAÇÃO AMBIENTAL</t>
  </si>
  <si>
    <t>Projeto Educação Ambiental</t>
  </si>
  <si>
    <t>* Considerando Inadimplência de 15% e Média de Receita de Taxa MRA (R$ 38.000,00)</t>
  </si>
  <si>
    <t>Aporte Recuperação de Crédito</t>
  </si>
  <si>
    <t>Previsão - Aporte</t>
  </si>
  <si>
    <t>Metodologia: Aplicação do índice de inflação oficial do governo, qual seja: IPCA de 2,89% acumulado no ano de 2020, sobre a média das despesas do período de novembro/2019 a outubro/2020 (12 meses). Reajuste 5% para despesas com pessoal - SEICON/DF.</t>
  </si>
  <si>
    <t>DESPESAS EXTRAORDINÁRIAS</t>
  </si>
  <si>
    <t>PREVISÃO ORÇAMENTÁRIA DESPESAS EXTRAORDINÁRIAS 2021</t>
  </si>
  <si>
    <t>PREVISÃO ORÇAMENTÁRIA DESPESAS ORDINÁRIAS 2021</t>
  </si>
  <si>
    <t>PREVISÃO ORÇAMENTÁRIA - CENÁRIO 1</t>
  </si>
  <si>
    <t>PREVISÃO ORÇAMENTÁRIA - CENÁRIO 2</t>
  </si>
  <si>
    <t>PREVISÃO ORÇAMENTÁRIA - CENÁRIO 3</t>
  </si>
  <si>
    <t>Previsão Mensal</t>
  </si>
  <si>
    <t>Suporte Perícia AB (Despesa não Comprometida)</t>
  </si>
  <si>
    <t>Taxa Extra</t>
  </si>
  <si>
    <t>* Considerando Inadimplência de 15%</t>
  </si>
  <si>
    <t>Total Despesa 12 últimos meses</t>
  </si>
  <si>
    <t>Média Despesas 12 últimos meses</t>
  </si>
  <si>
    <t>Percentual de Reajuste</t>
  </si>
  <si>
    <t>Consul/Assess. de Licen. Amb. e Reg Urb. e Fund (Por 12 Meses)</t>
  </si>
  <si>
    <t>Projeto URB GeoLógica</t>
  </si>
  <si>
    <t>Projeto Drenagem RHUMB</t>
  </si>
  <si>
    <t>Projeto Pavimento PROEST</t>
  </si>
  <si>
    <t>Consultoria Ambiental Flora</t>
  </si>
  <si>
    <t>Projeto Abastecimento e Sanitário RHUMB</t>
  </si>
  <si>
    <t>Digtalização de Documentos</t>
  </si>
  <si>
    <t>Sistema de Gestão de Dados (Banco de Dados Geográficos)</t>
  </si>
  <si>
    <t>Melhoria das Condições de Trabalho</t>
  </si>
  <si>
    <t>Desobstrução Taboquinha (Ecotech)</t>
  </si>
  <si>
    <t>Proposta Orçamentária Ano 2021 - 886 Unidades (Despesas Extraordinárias)</t>
  </si>
  <si>
    <t>* Considerando Inadimplência de 15% e Aporte de Recurso da Recupareção de Crédito de Taxa Extra no valor de R$ 284.874,08 no ano.</t>
  </si>
  <si>
    <t>12x</t>
  </si>
  <si>
    <t>* Considerando Inadimplência de 15%, Média de Receita de Taxa MRA (R$ 38.000,00), considerando o aporte de R$ 1.157.000,00 de taxas ordinárias identificadas na conta Recuperação de Crédito no mês de dezembro.</t>
  </si>
  <si>
    <r>
      <t>* Considerando Inadimplência de 15%, Média de Receita de Taxa MRA (R$ 38.000,00), considerando o aporte de R$ 1.157.000,00 de taxas ordinárias identificadas na conta Recuperação de Crédito no mês de dezembro e necessidade de aporte mensal da conta Recuperação de Crédito no valor de (R</t>
    </r>
    <r>
      <rPr>
        <b/>
        <sz val="9"/>
        <color rgb="FF000000"/>
        <rFont val="Arial"/>
        <family val="2"/>
      </rPr>
      <t>$ 46.318,31).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</si>
</sst>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0"/>
      <color indexed="8"/>
      <name val="MS Sans Serif"/>
    </font>
    <font>
      <b/>
      <sz val="9.9499999999999993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4" fontId="4" fillId="0" borderId="1" xfId="0" applyNumberFormat="1" applyFont="1" applyFill="1" applyBorder="1" applyAlignment="1" applyProtection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0" fontId="3" fillId="4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right"/>
    </xf>
    <xf numFmtId="4" fontId="3" fillId="2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 applyProtection="1"/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 applyProtection="1"/>
    <xf numFmtId="0" fontId="3" fillId="2" borderId="1" xfId="0" applyFont="1" applyFill="1" applyBorder="1" applyAlignment="1">
      <alignment horizontal="right" vertical="center"/>
    </xf>
    <xf numFmtId="4" fontId="3" fillId="6" borderId="1" xfId="0" applyNumberFormat="1" applyFont="1" applyFill="1" applyBorder="1" applyAlignment="1" applyProtection="1"/>
    <xf numFmtId="4" fontId="3" fillId="5" borderId="1" xfId="0" applyNumberFormat="1" applyFont="1" applyFill="1" applyBorder="1" applyAlignment="1" applyProtection="1"/>
    <xf numFmtId="10" fontId="3" fillId="7" borderId="1" xfId="0" applyNumberFormat="1" applyFon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4" fontId="6" fillId="3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right"/>
    </xf>
    <xf numFmtId="4" fontId="6" fillId="3" borderId="1" xfId="0" applyNumberFormat="1" applyFont="1" applyFill="1" applyBorder="1" applyAlignment="1" applyProtection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/>
    <xf numFmtId="4" fontId="3" fillId="4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wrapText="1"/>
    </xf>
    <xf numFmtId="4" fontId="3" fillId="4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4"/>
  <sheetViews>
    <sheetView tabSelected="1" zoomScale="90" zoomScaleNormal="90" workbookViewId="0">
      <pane xSplit="2" ySplit="9" topLeftCell="K174" activePane="bottomRight" state="frozen"/>
      <selection pane="topRight" activeCell="C1" sqref="C1"/>
      <selection pane="bottomLeft" activeCell="A8" sqref="A8"/>
      <selection pane="bottomRight" activeCell="P176" sqref="P176"/>
    </sheetView>
  </sheetViews>
  <sheetFormatPr defaultColWidth="11.42578125" defaultRowHeight="12" x14ac:dyDescent="0.2"/>
  <cols>
    <col min="1" max="1" width="55.85546875" style="1" customWidth="1"/>
    <col min="2" max="13" width="11.42578125" style="1" customWidth="1"/>
    <col min="14" max="16" width="15.42578125" style="2" customWidth="1"/>
    <col min="17" max="17" width="15.42578125" style="3" customWidth="1"/>
    <col min="18" max="19" width="15.42578125" style="4" customWidth="1"/>
    <col min="20" max="16384" width="11.42578125" style="1"/>
  </cols>
  <sheetData>
    <row r="1" spans="1:19" ht="15.75" x14ac:dyDescent="0.25">
      <c r="A1" s="69" t="s">
        <v>166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78" customHeight="1" x14ac:dyDescent="0.2">
      <c r="A2" s="10" t="s">
        <v>163</v>
      </c>
      <c r="B2" s="71" t="s">
        <v>111</v>
      </c>
      <c r="C2" s="71" t="s">
        <v>112</v>
      </c>
      <c r="D2" s="71" t="s">
        <v>113</v>
      </c>
      <c r="E2" s="71" t="s">
        <v>114</v>
      </c>
      <c r="F2" s="71" t="s">
        <v>115</v>
      </c>
      <c r="G2" s="71" t="s">
        <v>116</v>
      </c>
      <c r="H2" s="71" t="s">
        <v>117</v>
      </c>
      <c r="I2" s="71" t="s">
        <v>118</v>
      </c>
      <c r="J2" s="71" t="s">
        <v>119</v>
      </c>
      <c r="K2" s="71" t="s">
        <v>120</v>
      </c>
      <c r="L2" s="71" t="s">
        <v>121</v>
      </c>
      <c r="M2" s="71" t="s">
        <v>122</v>
      </c>
      <c r="N2" s="68" t="s">
        <v>174</v>
      </c>
      <c r="O2" s="68" t="s">
        <v>175</v>
      </c>
      <c r="P2" s="65" t="s">
        <v>123</v>
      </c>
      <c r="Q2" s="72" t="s">
        <v>66</v>
      </c>
      <c r="R2" s="70" t="s">
        <v>124</v>
      </c>
      <c r="S2" s="70"/>
    </row>
    <row r="3" spans="1:19" s="2" customFormat="1" ht="15.95" customHeight="1" x14ac:dyDescent="0.2">
      <c r="A3" s="11" t="s">
        <v>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68"/>
      <c r="O3" s="68"/>
      <c r="P3" s="65"/>
      <c r="Q3" s="72"/>
      <c r="R3" s="12" t="s">
        <v>67</v>
      </c>
      <c r="S3" s="13" t="s">
        <v>68</v>
      </c>
    </row>
    <row r="4" spans="1:19" x14ac:dyDescent="0.2">
      <c r="A4" s="14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  <c r="Q4" s="8"/>
      <c r="R4" s="17"/>
      <c r="S4" s="17"/>
    </row>
    <row r="5" spans="1:19" ht="12.75" x14ac:dyDescent="0.2">
      <c r="A5" s="18" t="s">
        <v>5</v>
      </c>
      <c r="B5" s="19">
        <v>74391.199999999997</v>
      </c>
      <c r="C5" s="19">
        <v>75347.73</v>
      </c>
      <c r="D5" s="19">
        <v>74570.97</v>
      </c>
      <c r="E5" s="19">
        <v>83385.42</v>
      </c>
      <c r="F5" s="19">
        <v>78286.78</v>
      </c>
      <c r="G5" s="19">
        <v>78727.13</v>
      </c>
      <c r="H5" s="19">
        <v>82949.759999999995</v>
      </c>
      <c r="I5" s="19">
        <v>81347.31</v>
      </c>
      <c r="J5" s="19">
        <v>81831.62</v>
      </c>
      <c r="K5" s="19">
        <v>80922.039999999994</v>
      </c>
      <c r="L5" s="19">
        <v>80264.990000000005</v>
      </c>
      <c r="M5" s="19">
        <v>81593.570000000007</v>
      </c>
      <c r="N5" s="20">
        <f t="shared" ref="N5:N28" si="0">SUM(B5:M5)</f>
        <v>953618.52</v>
      </c>
      <c r="O5" s="20">
        <f>N5/12</f>
        <v>79468.210000000006</v>
      </c>
      <c r="P5" s="21">
        <v>86593.57</v>
      </c>
      <c r="Q5" s="22">
        <v>0.05</v>
      </c>
      <c r="R5" s="17">
        <f t="shared" ref="R5:R27" si="1">P5*Q5+P5</f>
        <v>90923.248500000002</v>
      </c>
      <c r="S5" s="17">
        <f>R5*12</f>
        <v>1091078.9820000001</v>
      </c>
    </row>
    <row r="6" spans="1:19" ht="12.75" x14ac:dyDescent="0.2">
      <c r="A6" s="18" t="s">
        <v>6</v>
      </c>
      <c r="B6" s="19">
        <v>5628.21</v>
      </c>
      <c r="C6" s="19">
        <v>5628.21</v>
      </c>
      <c r="D6" s="19">
        <v>5628.21</v>
      </c>
      <c r="E6" s="19">
        <v>5858.05</v>
      </c>
      <c r="F6" s="19">
        <v>5858.05</v>
      </c>
      <c r="G6" s="19">
        <v>5858.05</v>
      </c>
      <c r="H6" s="19">
        <v>5858.05</v>
      </c>
      <c r="I6" s="19">
        <v>5858.05</v>
      </c>
      <c r="J6" s="19">
        <v>5858.05</v>
      </c>
      <c r="K6" s="19">
        <v>5858.05</v>
      </c>
      <c r="L6" s="19">
        <v>5858.05</v>
      </c>
      <c r="M6" s="19">
        <v>5858.05</v>
      </c>
      <c r="N6" s="20">
        <f t="shared" si="0"/>
        <v>69607.080000000016</v>
      </c>
      <c r="O6" s="20">
        <f t="shared" ref="O6:O28" si="2">N6/12</f>
        <v>5800.5900000000011</v>
      </c>
      <c r="P6" s="21">
        <v>7000</v>
      </c>
      <c r="Q6" s="22">
        <v>0</v>
      </c>
      <c r="R6" s="17">
        <f t="shared" si="1"/>
        <v>7000</v>
      </c>
      <c r="S6" s="17">
        <f t="shared" ref="S6:S28" si="3">R6*12</f>
        <v>84000</v>
      </c>
    </row>
    <row r="7" spans="1:19" ht="12.75" x14ac:dyDescent="0.2">
      <c r="A7" s="18" t="s">
        <v>125</v>
      </c>
      <c r="B7" s="19">
        <v>26989.72</v>
      </c>
      <c r="C7" s="19">
        <v>34664.480000000003</v>
      </c>
      <c r="D7" s="19">
        <v>29307.79</v>
      </c>
      <c r="E7" s="19">
        <v>26933.26</v>
      </c>
      <c r="F7" s="19">
        <v>60050.89</v>
      </c>
      <c r="G7" s="19">
        <v>30816.79</v>
      </c>
      <c r="H7" s="19">
        <v>150</v>
      </c>
      <c r="I7" s="19">
        <v>31222.1</v>
      </c>
      <c r="J7" s="19">
        <v>63097.36</v>
      </c>
      <c r="K7" s="19">
        <v>562.5</v>
      </c>
      <c r="L7" s="19">
        <v>29312.38</v>
      </c>
      <c r="M7" s="19">
        <v>32541.29</v>
      </c>
      <c r="N7" s="20">
        <f t="shared" si="0"/>
        <v>365648.56</v>
      </c>
      <c r="O7" s="20">
        <f t="shared" si="2"/>
        <v>30470.713333333333</v>
      </c>
      <c r="P7" s="21">
        <v>32541.29</v>
      </c>
      <c r="Q7" s="22">
        <v>0.05</v>
      </c>
      <c r="R7" s="17">
        <f t="shared" si="1"/>
        <v>34168.354500000001</v>
      </c>
      <c r="S7" s="17">
        <f t="shared" si="3"/>
        <v>410020.25400000002</v>
      </c>
    </row>
    <row r="8" spans="1:19" ht="12.75" x14ac:dyDescent="0.2">
      <c r="A8" s="18" t="s">
        <v>7</v>
      </c>
      <c r="B8" s="19">
        <v>8047.3</v>
      </c>
      <c r="C8" s="19">
        <v>7728.1</v>
      </c>
      <c r="D8" s="19">
        <v>8335.85</v>
      </c>
      <c r="E8" s="19">
        <v>8933.4</v>
      </c>
      <c r="F8" s="19">
        <v>7525.8</v>
      </c>
      <c r="G8" s="19">
        <v>7956.1</v>
      </c>
      <c r="H8" s="19">
        <v>7823.9</v>
      </c>
      <c r="I8" s="19">
        <v>9421.9</v>
      </c>
      <c r="J8" s="19">
        <v>8809.2000000000007</v>
      </c>
      <c r="K8" s="19">
        <v>8630.4</v>
      </c>
      <c r="L8" s="19">
        <v>10206.5</v>
      </c>
      <c r="M8" s="19">
        <v>8978.7999999999993</v>
      </c>
      <c r="N8" s="20">
        <f t="shared" si="0"/>
        <v>102397.25</v>
      </c>
      <c r="O8" s="20">
        <f t="shared" si="2"/>
        <v>8533.1041666666661</v>
      </c>
      <c r="P8" s="21">
        <v>8978.7999999999993</v>
      </c>
      <c r="Q8" s="22">
        <v>7.0000000000000007E-2</v>
      </c>
      <c r="R8" s="17">
        <f t="shared" si="1"/>
        <v>9607.3159999999989</v>
      </c>
      <c r="S8" s="17">
        <f t="shared" si="3"/>
        <v>115287.79199999999</v>
      </c>
    </row>
    <row r="9" spans="1:19" ht="12.75" x14ac:dyDescent="0.2">
      <c r="A9" s="18" t="s">
        <v>8</v>
      </c>
      <c r="B9" s="19">
        <v>239.94</v>
      </c>
      <c r="C9" s="19">
        <v>237.6</v>
      </c>
      <c r="D9" s="19">
        <v>0</v>
      </c>
      <c r="E9" s="19">
        <v>0</v>
      </c>
      <c r="F9" s="19">
        <v>749.8</v>
      </c>
      <c r="G9" s="19">
        <v>4283.5</v>
      </c>
      <c r="H9" s="19">
        <v>2087.42</v>
      </c>
      <c r="I9" s="19">
        <v>1521.47</v>
      </c>
      <c r="J9" s="19">
        <v>30</v>
      </c>
      <c r="K9" s="19">
        <v>5383.28</v>
      </c>
      <c r="L9" s="19">
        <v>2635</v>
      </c>
      <c r="M9" s="19">
        <v>1876</v>
      </c>
      <c r="N9" s="20">
        <f t="shared" si="0"/>
        <v>19044.009999999998</v>
      </c>
      <c r="O9" s="20">
        <f t="shared" si="2"/>
        <v>1587.0008333333333</v>
      </c>
      <c r="P9" s="21">
        <v>2000</v>
      </c>
      <c r="Q9" s="22">
        <v>0</v>
      </c>
      <c r="R9" s="17">
        <f t="shared" si="1"/>
        <v>2000</v>
      </c>
      <c r="S9" s="17">
        <f t="shared" si="3"/>
        <v>24000</v>
      </c>
    </row>
    <row r="10" spans="1:19" ht="12.75" x14ac:dyDescent="0.2">
      <c r="A10" s="18" t="s">
        <v>80</v>
      </c>
      <c r="B10" s="19">
        <v>6746.72</v>
      </c>
      <c r="C10" s="19">
        <v>10527.7</v>
      </c>
      <c r="D10" s="19">
        <v>5482.46</v>
      </c>
      <c r="E10" s="19">
        <v>11735.82</v>
      </c>
      <c r="F10" s="19">
        <v>0</v>
      </c>
      <c r="G10" s="19">
        <v>12133.09</v>
      </c>
      <c r="H10" s="19">
        <v>4875.51</v>
      </c>
      <c r="I10" s="19">
        <v>4116.1000000000004</v>
      </c>
      <c r="J10" s="19">
        <v>8236.39</v>
      </c>
      <c r="K10" s="19">
        <v>6697.32</v>
      </c>
      <c r="L10" s="19">
        <v>2242.85</v>
      </c>
      <c r="M10" s="19">
        <v>8273.7900000000009</v>
      </c>
      <c r="N10" s="20">
        <f t="shared" si="0"/>
        <v>81067.75</v>
      </c>
      <c r="O10" s="20">
        <f t="shared" si="2"/>
        <v>6755.645833333333</v>
      </c>
      <c r="P10" s="21">
        <v>9621.51</v>
      </c>
      <c r="Q10" s="22">
        <v>0.05</v>
      </c>
      <c r="R10" s="17">
        <f t="shared" si="1"/>
        <v>10102.585500000001</v>
      </c>
      <c r="S10" s="17">
        <f t="shared" si="3"/>
        <v>121231.02600000001</v>
      </c>
    </row>
    <row r="11" spans="1:19" ht="12.75" x14ac:dyDescent="0.2">
      <c r="A11" s="18" t="s">
        <v>9</v>
      </c>
      <c r="B11" s="19">
        <v>5346.18</v>
      </c>
      <c r="C11" s="19">
        <v>4043.56</v>
      </c>
      <c r="D11" s="19">
        <v>0</v>
      </c>
      <c r="E11" s="19">
        <v>3289.66</v>
      </c>
      <c r="F11" s="19">
        <v>0</v>
      </c>
      <c r="G11" s="19">
        <v>5256.68</v>
      </c>
      <c r="H11" s="19">
        <v>2327.02</v>
      </c>
      <c r="I11" s="19">
        <v>0</v>
      </c>
      <c r="J11" s="19">
        <v>2482.4899999999998</v>
      </c>
      <c r="K11" s="19">
        <v>1890.16</v>
      </c>
      <c r="L11" s="19">
        <v>1103.32</v>
      </c>
      <c r="M11" s="19">
        <v>0</v>
      </c>
      <c r="N11" s="20">
        <f t="shared" si="0"/>
        <v>25739.070000000003</v>
      </c>
      <c r="O11" s="20">
        <f t="shared" si="2"/>
        <v>2144.9225000000001</v>
      </c>
      <c r="P11" s="21">
        <f>((P5/30)*10)/12</f>
        <v>2405.3769444444447</v>
      </c>
      <c r="Q11" s="22">
        <v>0.05</v>
      </c>
      <c r="R11" s="17">
        <f t="shared" si="1"/>
        <v>2525.6457916666668</v>
      </c>
      <c r="S11" s="17">
        <f t="shared" si="3"/>
        <v>30307.749500000002</v>
      </c>
    </row>
    <row r="12" spans="1:19" ht="12.75" x14ac:dyDescent="0.2">
      <c r="A12" s="18" t="s">
        <v>10</v>
      </c>
      <c r="B12" s="19">
        <v>25770.84</v>
      </c>
      <c r="C12" s="19">
        <v>36968.870000000003</v>
      </c>
      <c r="D12" s="19">
        <v>1583.94</v>
      </c>
      <c r="E12" s="19">
        <v>2052.88</v>
      </c>
      <c r="F12" s="19">
        <v>0</v>
      </c>
      <c r="G12" s="19">
        <v>2973.21</v>
      </c>
      <c r="H12" s="19">
        <v>0</v>
      </c>
      <c r="I12" s="19">
        <v>0</v>
      </c>
      <c r="J12" s="19">
        <v>3823.08</v>
      </c>
      <c r="K12" s="19">
        <v>0</v>
      </c>
      <c r="L12" s="19">
        <v>1284.1199999999999</v>
      </c>
      <c r="M12" s="19">
        <v>1078.9100000000001</v>
      </c>
      <c r="N12" s="20">
        <f t="shared" si="0"/>
        <v>75535.85000000002</v>
      </c>
      <c r="O12" s="20">
        <f t="shared" si="2"/>
        <v>6294.6541666666681</v>
      </c>
      <c r="P12" s="21">
        <f>P5/12</f>
        <v>7216.1308333333336</v>
      </c>
      <c r="Q12" s="22">
        <v>0.05</v>
      </c>
      <c r="R12" s="17">
        <f t="shared" si="1"/>
        <v>7576.9373750000004</v>
      </c>
      <c r="S12" s="17">
        <f t="shared" si="3"/>
        <v>90923.248500000002</v>
      </c>
    </row>
    <row r="13" spans="1:19" ht="12.75" x14ac:dyDescent="0.2">
      <c r="A13" s="18" t="s">
        <v>11</v>
      </c>
      <c r="B13" s="19">
        <v>37612.54</v>
      </c>
      <c r="C13" s="19">
        <v>64455.33</v>
      </c>
      <c r="D13" s="19">
        <v>36418.75</v>
      </c>
      <c r="E13" s="19">
        <v>39844.300000000003</v>
      </c>
      <c r="F13" s="19">
        <v>36601.89</v>
      </c>
      <c r="G13" s="19">
        <v>38499.19</v>
      </c>
      <c r="H13" s="19">
        <v>37575.22</v>
      </c>
      <c r="I13" s="19">
        <v>39385.449999999997</v>
      </c>
      <c r="J13" s="19">
        <v>36697.06</v>
      </c>
      <c r="K13" s="19">
        <v>38548.81</v>
      </c>
      <c r="L13" s="19">
        <v>41467.35</v>
      </c>
      <c r="M13" s="19">
        <v>37205.480000000003</v>
      </c>
      <c r="N13" s="20">
        <f t="shared" si="0"/>
        <v>484311.36999999994</v>
      </c>
      <c r="O13" s="20">
        <f t="shared" si="2"/>
        <v>40359.280833333331</v>
      </c>
      <c r="P13" s="21">
        <f>P5/2</f>
        <v>43296.785000000003</v>
      </c>
      <c r="Q13" s="22">
        <v>0.05</v>
      </c>
      <c r="R13" s="17">
        <f t="shared" si="1"/>
        <v>45461.624250000001</v>
      </c>
      <c r="S13" s="17">
        <f t="shared" si="3"/>
        <v>545539.49100000004</v>
      </c>
    </row>
    <row r="14" spans="1:19" ht="12.75" x14ac:dyDescent="0.2">
      <c r="A14" s="18" t="s">
        <v>12</v>
      </c>
      <c r="B14" s="19">
        <v>7449.45</v>
      </c>
      <c r="C14" s="19">
        <v>9287.92</v>
      </c>
      <c r="D14" s="19">
        <v>10961.18</v>
      </c>
      <c r="E14" s="19">
        <v>8689.84</v>
      </c>
      <c r="F14" s="19">
        <v>7748.05</v>
      </c>
      <c r="G14" s="19">
        <v>7802.69</v>
      </c>
      <c r="H14" s="19">
        <v>8265.59</v>
      </c>
      <c r="I14" s="19">
        <v>15591.12</v>
      </c>
      <c r="J14" s="19">
        <v>7718.75</v>
      </c>
      <c r="K14" s="19">
        <v>8222.2800000000007</v>
      </c>
      <c r="L14" s="19">
        <v>8112.93</v>
      </c>
      <c r="M14" s="19">
        <v>7901.37</v>
      </c>
      <c r="N14" s="20">
        <f t="shared" si="0"/>
        <v>107751.16999999998</v>
      </c>
      <c r="O14" s="20">
        <f t="shared" si="2"/>
        <v>8979.2641666666659</v>
      </c>
      <c r="P14" s="21">
        <f>P5*11.3%</f>
        <v>9785.0734100000009</v>
      </c>
      <c r="Q14" s="22">
        <v>0.05</v>
      </c>
      <c r="R14" s="17">
        <f t="shared" si="1"/>
        <v>10274.327080500001</v>
      </c>
      <c r="S14" s="17">
        <f t="shared" si="3"/>
        <v>123291.92496600002</v>
      </c>
    </row>
    <row r="15" spans="1:19" ht="12.75" x14ac:dyDescent="0.2">
      <c r="A15" s="18" t="s">
        <v>13</v>
      </c>
      <c r="B15" s="19">
        <v>865.44</v>
      </c>
      <c r="C15" s="19">
        <v>843.06</v>
      </c>
      <c r="D15" s="19">
        <v>1696.05</v>
      </c>
      <c r="E15" s="19">
        <v>942.23</v>
      </c>
      <c r="F15" s="19">
        <v>881.55</v>
      </c>
      <c r="G15" s="19">
        <v>918.6</v>
      </c>
      <c r="H15" s="19">
        <v>930.15</v>
      </c>
      <c r="I15" s="19">
        <v>966.45</v>
      </c>
      <c r="J15" s="19">
        <v>914.42</v>
      </c>
      <c r="K15" s="19">
        <v>944.95</v>
      </c>
      <c r="L15" s="19">
        <v>1094.97</v>
      </c>
      <c r="M15" s="19">
        <v>912.99</v>
      </c>
      <c r="N15" s="20">
        <f t="shared" si="0"/>
        <v>11910.86</v>
      </c>
      <c r="O15" s="20">
        <f t="shared" si="2"/>
        <v>992.57166666666672</v>
      </c>
      <c r="P15" s="21">
        <f>P5*1.25%</f>
        <v>1082.4196250000002</v>
      </c>
      <c r="Q15" s="22">
        <v>0.05</v>
      </c>
      <c r="R15" s="17">
        <f t="shared" si="1"/>
        <v>1136.5406062500003</v>
      </c>
      <c r="S15" s="17">
        <f t="shared" si="3"/>
        <v>13638.487275000003</v>
      </c>
    </row>
    <row r="16" spans="1:19" ht="12.75" x14ac:dyDescent="0.2">
      <c r="A16" s="18" t="s">
        <v>14</v>
      </c>
      <c r="B16" s="19">
        <v>695</v>
      </c>
      <c r="C16" s="19">
        <v>2040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f t="shared" si="0"/>
        <v>2735</v>
      </c>
      <c r="O16" s="20">
        <f t="shared" si="2"/>
        <v>227.91666666666666</v>
      </c>
      <c r="P16" s="21">
        <v>227.92</v>
      </c>
      <c r="Q16" s="22">
        <v>0.05</v>
      </c>
      <c r="R16" s="17">
        <f t="shared" si="1"/>
        <v>239.31599999999997</v>
      </c>
      <c r="S16" s="17">
        <f t="shared" si="3"/>
        <v>2871.7919999999995</v>
      </c>
    </row>
    <row r="17" spans="1:19" ht="12.75" x14ac:dyDescent="0.2">
      <c r="A17" s="18" t="s">
        <v>81</v>
      </c>
      <c r="B17" s="19">
        <v>390.65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f t="shared" si="0"/>
        <v>390.65</v>
      </c>
      <c r="O17" s="20">
        <f t="shared" si="2"/>
        <v>32.554166666666667</v>
      </c>
      <c r="P17" s="21">
        <v>0</v>
      </c>
      <c r="Q17" s="22">
        <v>0.05</v>
      </c>
      <c r="R17" s="17">
        <f t="shared" si="1"/>
        <v>0</v>
      </c>
      <c r="S17" s="17">
        <f t="shared" si="3"/>
        <v>0</v>
      </c>
    </row>
    <row r="18" spans="1:19" ht="12.75" x14ac:dyDescent="0.2">
      <c r="A18" s="18" t="s">
        <v>15</v>
      </c>
      <c r="B18" s="19">
        <v>836.52</v>
      </c>
      <c r="C18" s="19">
        <v>836.52</v>
      </c>
      <c r="D18" s="19">
        <v>836.52</v>
      </c>
      <c r="E18" s="19">
        <v>836.52</v>
      </c>
      <c r="F18" s="19">
        <v>836.52</v>
      </c>
      <c r="G18" s="19">
        <v>836.52</v>
      </c>
      <c r="H18" s="19">
        <v>836.52</v>
      </c>
      <c r="I18" s="19">
        <v>836.52</v>
      </c>
      <c r="J18" s="19">
        <v>836.52</v>
      </c>
      <c r="K18" s="19">
        <v>890.93</v>
      </c>
      <c r="L18" s="19">
        <v>890.93</v>
      </c>
      <c r="M18" s="19">
        <v>890.93</v>
      </c>
      <c r="N18" s="20">
        <f t="shared" si="0"/>
        <v>10201.470000000003</v>
      </c>
      <c r="O18" s="20">
        <f t="shared" si="2"/>
        <v>850.12250000000029</v>
      </c>
      <c r="P18" s="21">
        <v>890.93</v>
      </c>
      <c r="Q18" s="22">
        <v>0</v>
      </c>
      <c r="R18" s="17">
        <f t="shared" si="1"/>
        <v>890.93</v>
      </c>
      <c r="S18" s="17">
        <f t="shared" si="3"/>
        <v>10691.16</v>
      </c>
    </row>
    <row r="19" spans="1:19" ht="12.75" x14ac:dyDescent="0.2">
      <c r="A19" s="18" t="s">
        <v>147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f t="shared" si="0"/>
        <v>0</v>
      </c>
      <c r="O19" s="20">
        <f t="shared" si="2"/>
        <v>0</v>
      </c>
      <c r="P19" s="21">
        <v>1118.77</v>
      </c>
      <c r="Q19" s="22">
        <v>0.05</v>
      </c>
      <c r="R19" s="17">
        <f>P19*Q19+P19</f>
        <v>1174.7085</v>
      </c>
      <c r="S19" s="17">
        <f>R19*12</f>
        <v>14096.502</v>
      </c>
    </row>
    <row r="20" spans="1:19" ht="12.75" x14ac:dyDescent="0.2">
      <c r="A20" s="18" t="s">
        <v>16</v>
      </c>
      <c r="B20" s="19">
        <v>32</v>
      </c>
      <c r="C20" s="19">
        <v>0</v>
      </c>
      <c r="D20" s="19">
        <v>0</v>
      </c>
      <c r="E20" s="19">
        <v>0</v>
      </c>
      <c r="F20" s="19">
        <v>30</v>
      </c>
      <c r="G20" s="19">
        <v>0</v>
      </c>
      <c r="H20" s="19">
        <v>40</v>
      </c>
      <c r="I20" s="19">
        <v>50</v>
      </c>
      <c r="J20" s="19">
        <v>30</v>
      </c>
      <c r="K20" s="19">
        <v>32</v>
      </c>
      <c r="L20" s="19">
        <v>0</v>
      </c>
      <c r="M20" s="19">
        <v>30</v>
      </c>
      <c r="N20" s="20">
        <f t="shared" si="0"/>
        <v>244</v>
      </c>
      <c r="O20" s="20">
        <f t="shared" si="2"/>
        <v>20.333333333333332</v>
      </c>
      <c r="P20" s="21">
        <v>30</v>
      </c>
      <c r="Q20" s="22">
        <v>0.05</v>
      </c>
      <c r="R20" s="17">
        <f t="shared" si="1"/>
        <v>31.5</v>
      </c>
      <c r="S20" s="17">
        <f t="shared" si="3"/>
        <v>378</v>
      </c>
    </row>
    <row r="21" spans="1:19" ht="12.75" x14ac:dyDescent="0.2">
      <c r="A21" s="18" t="s">
        <v>17</v>
      </c>
      <c r="B21" s="19">
        <v>1322.89</v>
      </c>
      <c r="C21" s="19">
        <v>822.36</v>
      </c>
      <c r="D21" s="19">
        <v>1454.93</v>
      </c>
      <c r="E21" s="19">
        <v>1757.01</v>
      </c>
      <c r="F21" s="19">
        <v>1001.14</v>
      </c>
      <c r="G21" s="19">
        <v>1399.24</v>
      </c>
      <c r="H21" s="19">
        <v>1519.47</v>
      </c>
      <c r="I21" s="19">
        <v>1626.56</v>
      </c>
      <c r="J21" s="19">
        <v>1059.03</v>
      </c>
      <c r="K21" s="19">
        <v>0</v>
      </c>
      <c r="L21" s="19">
        <v>1360.4</v>
      </c>
      <c r="M21" s="19">
        <v>1182.52</v>
      </c>
      <c r="N21" s="20">
        <f t="shared" si="0"/>
        <v>14505.550000000001</v>
      </c>
      <c r="O21" s="20">
        <f t="shared" si="2"/>
        <v>1208.7958333333333</v>
      </c>
      <c r="P21" s="21">
        <f>P5*1.52%</f>
        <v>1316.222264</v>
      </c>
      <c r="Q21" s="22">
        <v>0.05</v>
      </c>
      <c r="R21" s="17">
        <f t="shared" si="1"/>
        <v>1382.0333771999999</v>
      </c>
      <c r="S21" s="17">
        <f t="shared" si="3"/>
        <v>16584.400526400001</v>
      </c>
    </row>
    <row r="22" spans="1:19" ht="12.75" x14ac:dyDescent="0.2">
      <c r="A22" s="18" t="s">
        <v>18</v>
      </c>
      <c r="B22" s="19">
        <v>0</v>
      </c>
      <c r="C22" s="19">
        <v>0</v>
      </c>
      <c r="D22" s="19">
        <v>0</v>
      </c>
      <c r="E22" s="19">
        <v>0</v>
      </c>
      <c r="F22" s="19">
        <v>5230.55</v>
      </c>
      <c r="G22" s="19">
        <v>0</v>
      </c>
      <c r="H22" s="19">
        <v>6572.3</v>
      </c>
      <c r="I22" s="19">
        <v>0</v>
      </c>
      <c r="J22" s="19">
        <v>6443.85</v>
      </c>
      <c r="K22" s="19">
        <v>0</v>
      </c>
      <c r="L22" s="19">
        <v>25192.400000000001</v>
      </c>
      <c r="M22" s="19">
        <v>827.91</v>
      </c>
      <c r="N22" s="20">
        <f t="shared" si="0"/>
        <v>44267.010000000009</v>
      </c>
      <c r="O22" s="20">
        <f t="shared" si="2"/>
        <v>3688.9175000000009</v>
      </c>
      <c r="P22" s="21">
        <f>P5*4.64%</f>
        <v>4017.941648</v>
      </c>
      <c r="Q22" s="22">
        <v>0.05</v>
      </c>
      <c r="R22" s="17">
        <f t="shared" si="1"/>
        <v>4218.8387303999998</v>
      </c>
      <c r="S22" s="17">
        <f t="shared" si="3"/>
        <v>50626.064764800001</v>
      </c>
    </row>
    <row r="23" spans="1:19" ht="12.75" x14ac:dyDescent="0.2">
      <c r="A23" s="18" t="s">
        <v>76</v>
      </c>
      <c r="B23" s="19">
        <v>879.61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825.51</v>
      </c>
      <c r="I23" s="19">
        <v>0</v>
      </c>
      <c r="J23" s="19">
        <v>908.95</v>
      </c>
      <c r="K23" s="19">
        <v>0</v>
      </c>
      <c r="L23" s="19">
        <v>0</v>
      </c>
      <c r="M23" s="19">
        <v>1731.54</v>
      </c>
      <c r="N23" s="20">
        <f t="shared" si="0"/>
        <v>4345.6099999999997</v>
      </c>
      <c r="O23" s="20">
        <f t="shared" si="2"/>
        <v>362.13416666666666</v>
      </c>
      <c r="P23" s="21">
        <v>362.13</v>
      </c>
      <c r="Q23" s="22">
        <v>0</v>
      </c>
      <c r="R23" s="17">
        <f t="shared" si="1"/>
        <v>362.13</v>
      </c>
      <c r="S23" s="17">
        <f t="shared" si="3"/>
        <v>4345.5599999999995</v>
      </c>
    </row>
    <row r="24" spans="1:19" ht="12.75" x14ac:dyDescent="0.2">
      <c r="A24" s="18" t="s">
        <v>126</v>
      </c>
      <c r="B24" s="19">
        <v>0</v>
      </c>
      <c r="C24" s="19">
        <v>680</v>
      </c>
      <c r="D24" s="19">
        <v>660</v>
      </c>
      <c r="E24" s="19">
        <v>660</v>
      </c>
      <c r="F24" s="19">
        <v>660</v>
      </c>
      <c r="G24" s="19">
        <v>660</v>
      </c>
      <c r="H24" s="19">
        <v>640</v>
      </c>
      <c r="I24" s="19">
        <v>2440</v>
      </c>
      <c r="J24" s="19">
        <v>620</v>
      </c>
      <c r="K24" s="19">
        <v>620</v>
      </c>
      <c r="L24" s="19">
        <v>600</v>
      </c>
      <c r="M24" s="19">
        <v>600</v>
      </c>
      <c r="N24" s="20">
        <f t="shared" si="0"/>
        <v>8840</v>
      </c>
      <c r="O24" s="20">
        <f t="shared" si="2"/>
        <v>736.66666666666663</v>
      </c>
      <c r="P24" s="21">
        <v>600</v>
      </c>
      <c r="Q24" s="22">
        <v>0.05</v>
      </c>
      <c r="R24" s="17">
        <f t="shared" si="1"/>
        <v>630</v>
      </c>
      <c r="S24" s="17">
        <f t="shared" si="3"/>
        <v>7560</v>
      </c>
    </row>
    <row r="25" spans="1:19" ht="12.75" x14ac:dyDescent="0.2">
      <c r="A25" s="18" t="s">
        <v>127</v>
      </c>
      <c r="B25" s="19">
        <v>0</v>
      </c>
      <c r="C25" s="19">
        <v>0</v>
      </c>
      <c r="D25" s="19">
        <v>2074.5</v>
      </c>
      <c r="E25" s="19">
        <v>1552</v>
      </c>
      <c r="F25" s="19">
        <v>409.5</v>
      </c>
      <c r="G25" s="19">
        <v>0</v>
      </c>
      <c r="H25" s="19">
        <v>312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f t="shared" si="0"/>
        <v>4348</v>
      </c>
      <c r="O25" s="20">
        <f t="shared" si="2"/>
        <v>362.33333333333331</v>
      </c>
      <c r="P25" s="21">
        <f>16000/12</f>
        <v>1333.3333333333333</v>
      </c>
      <c r="Q25" s="22">
        <v>0</v>
      </c>
      <c r="R25" s="17">
        <f t="shared" si="1"/>
        <v>1333.3333333333333</v>
      </c>
      <c r="S25" s="17">
        <f t="shared" si="3"/>
        <v>16000</v>
      </c>
    </row>
    <row r="26" spans="1:19" ht="12.75" x14ac:dyDescent="0.2">
      <c r="A26" s="18" t="s">
        <v>100</v>
      </c>
      <c r="B26" s="19">
        <v>8900</v>
      </c>
      <c r="C26" s="19">
        <v>8900</v>
      </c>
      <c r="D26" s="19">
        <v>8900</v>
      </c>
      <c r="E26" s="19">
        <v>8900</v>
      </c>
      <c r="F26" s="19">
        <v>8900</v>
      </c>
      <c r="G26" s="19">
        <v>8900</v>
      </c>
      <c r="H26" s="19">
        <v>8900</v>
      </c>
      <c r="I26" s="19">
        <v>8900</v>
      </c>
      <c r="J26" s="19">
        <v>8900</v>
      </c>
      <c r="K26" s="19">
        <v>8900</v>
      </c>
      <c r="L26" s="19">
        <v>8900</v>
      </c>
      <c r="M26" s="19">
        <v>8900</v>
      </c>
      <c r="N26" s="20">
        <f t="shared" si="0"/>
        <v>106800</v>
      </c>
      <c r="O26" s="20">
        <f t="shared" si="2"/>
        <v>8900</v>
      </c>
      <c r="P26" s="21">
        <v>0</v>
      </c>
      <c r="Q26" s="22">
        <v>0</v>
      </c>
      <c r="R26" s="17">
        <f t="shared" si="1"/>
        <v>0</v>
      </c>
      <c r="S26" s="17">
        <f t="shared" si="3"/>
        <v>0</v>
      </c>
    </row>
    <row r="27" spans="1:19" ht="12.75" x14ac:dyDescent="0.2">
      <c r="A27" s="18" t="s">
        <v>128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3733</v>
      </c>
      <c r="K27" s="19">
        <v>3733</v>
      </c>
      <c r="L27" s="19">
        <v>3734</v>
      </c>
      <c r="M27" s="19">
        <v>0</v>
      </c>
      <c r="N27" s="20">
        <f t="shared" si="0"/>
        <v>11200</v>
      </c>
      <c r="O27" s="20">
        <f t="shared" si="2"/>
        <v>933.33333333333337</v>
      </c>
      <c r="P27" s="21">
        <v>0</v>
      </c>
      <c r="Q27" s="22">
        <v>0.05</v>
      </c>
      <c r="R27" s="17">
        <f t="shared" si="1"/>
        <v>0</v>
      </c>
      <c r="S27" s="17">
        <f t="shared" si="3"/>
        <v>0</v>
      </c>
    </row>
    <row r="28" spans="1:19" ht="12.75" x14ac:dyDescent="0.2">
      <c r="A28" s="18" t="s">
        <v>129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2000</v>
      </c>
      <c r="M28" s="19">
        <v>0</v>
      </c>
      <c r="N28" s="20">
        <f t="shared" si="0"/>
        <v>2000</v>
      </c>
      <c r="O28" s="20">
        <f t="shared" si="2"/>
        <v>166.66666666666666</v>
      </c>
      <c r="P28" s="21">
        <v>0</v>
      </c>
      <c r="Q28" s="22">
        <v>0.05</v>
      </c>
      <c r="R28" s="17">
        <f>P28*Q28+P28</f>
        <v>0</v>
      </c>
      <c r="S28" s="17">
        <f t="shared" si="3"/>
        <v>0</v>
      </c>
    </row>
    <row r="29" spans="1:19" x14ac:dyDescent="0.2">
      <c r="A29" s="23" t="s">
        <v>69</v>
      </c>
      <c r="B29" s="24">
        <f t="shared" ref="B29:N29" si="4">SUM(B5:B28)</f>
        <v>212144.21000000002</v>
      </c>
      <c r="C29" s="24">
        <f t="shared" si="4"/>
        <v>263011.44</v>
      </c>
      <c r="D29" s="24">
        <f t="shared" si="4"/>
        <v>187911.15</v>
      </c>
      <c r="E29" s="24">
        <f t="shared" si="4"/>
        <v>205370.38999999998</v>
      </c>
      <c r="F29" s="24">
        <f t="shared" si="4"/>
        <v>214770.51999999993</v>
      </c>
      <c r="G29" s="24">
        <f t="shared" si="4"/>
        <v>207020.78999999998</v>
      </c>
      <c r="H29" s="24">
        <f t="shared" si="4"/>
        <v>172488.41999999998</v>
      </c>
      <c r="I29" s="24">
        <f t="shared" si="4"/>
        <v>203283.03</v>
      </c>
      <c r="J29" s="24">
        <f t="shared" si="4"/>
        <v>242029.77</v>
      </c>
      <c r="K29" s="24">
        <f t="shared" si="4"/>
        <v>171835.72</v>
      </c>
      <c r="L29" s="24">
        <f t="shared" si="4"/>
        <v>226260.19</v>
      </c>
      <c r="M29" s="24">
        <f t="shared" si="4"/>
        <v>200383.15</v>
      </c>
      <c r="N29" s="24">
        <f t="shared" si="4"/>
        <v>2506508.7799999998</v>
      </c>
      <c r="O29" s="24">
        <f>N29/12</f>
        <v>208875.73166666666</v>
      </c>
      <c r="P29" s="24">
        <f>SUM(P5:P28)</f>
        <v>220418.20305811116</v>
      </c>
      <c r="Q29" s="8"/>
      <c r="R29" s="25">
        <f>SUM(R5:R28)</f>
        <v>231039.36954434996</v>
      </c>
      <c r="S29" s="25">
        <f>SUM(S5:S28)</f>
        <v>2772472.4345322005</v>
      </c>
    </row>
    <row r="30" spans="1:19" x14ac:dyDescent="0.2">
      <c r="A30" s="14" t="s">
        <v>19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6"/>
      <c r="O30" s="26"/>
      <c r="P30" s="26"/>
      <c r="Q30" s="8"/>
      <c r="R30" s="17"/>
      <c r="S30" s="17"/>
    </row>
    <row r="31" spans="1:19" ht="12.75" x14ac:dyDescent="0.2">
      <c r="A31" s="18" t="s">
        <v>20</v>
      </c>
      <c r="B31" s="19">
        <v>5688.21</v>
      </c>
      <c r="C31" s="19">
        <v>5688.21</v>
      </c>
      <c r="D31" s="19">
        <v>5688.21</v>
      </c>
      <c r="E31" s="19">
        <v>5912.33</v>
      </c>
      <c r="F31" s="19">
        <v>5912.33</v>
      </c>
      <c r="G31" s="19">
        <v>5912.33</v>
      </c>
      <c r="H31" s="19">
        <v>5912.33</v>
      </c>
      <c r="I31" s="19">
        <v>5912.33</v>
      </c>
      <c r="J31" s="19">
        <v>5909.41</v>
      </c>
      <c r="K31" s="19">
        <v>5912.33</v>
      </c>
      <c r="L31" s="19">
        <v>5912.33</v>
      </c>
      <c r="M31" s="19">
        <v>5912.33</v>
      </c>
      <c r="N31" s="20">
        <f t="shared" ref="N31:N44" si="5">SUM(B31:M31)</f>
        <v>70272.680000000008</v>
      </c>
      <c r="O31" s="20">
        <f t="shared" ref="O31:O44" si="6">N31/12</f>
        <v>5856.0566666666673</v>
      </c>
      <c r="P31" s="21">
        <v>5912.33</v>
      </c>
      <c r="Q31" s="22">
        <v>7.4025999999999995E-2</v>
      </c>
      <c r="R31" s="17">
        <f t="shared" ref="R31:R44" si="7">P31*Q31+P31</f>
        <v>6349.9961405799995</v>
      </c>
      <c r="S31" s="17">
        <f t="shared" ref="S31:S44" si="8">R31*12</f>
        <v>76199.953686959998</v>
      </c>
    </row>
    <row r="32" spans="1:19" ht="12.75" x14ac:dyDescent="0.2">
      <c r="A32" s="18" t="s">
        <v>149</v>
      </c>
      <c r="B32" s="19"/>
      <c r="C32" s="19">
        <v>5688.21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>
        <f t="shared" si="5"/>
        <v>5688.21</v>
      </c>
      <c r="O32" s="20">
        <f t="shared" si="6"/>
        <v>474.01749999999998</v>
      </c>
      <c r="P32" s="21">
        <f>R31/12</f>
        <v>529.16634504833326</v>
      </c>
      <c r="Q32" s="22"/>
      <c r="R32" s="17">
        <f t="shared" si="7"/>
        <v>529.16634504833326</v>
      </c>
      <c r="S32" s="17">
        <f t="shared" si="8"/>
        <v>6349.9961405799986</v>
      </c>
    </row>
    <row r="33" spans="1:19" ht="12.75" x14ac:dyDescent="0.2">
      <c r="A33" s="18" t="s">
        <v>2</v>
      </c>
      <c r="B33" s="19">
        <v>10970</v>
      </c>
      <c r="C33" s="19">
        <v>0</v>
      </c>
      <c r="D33" s="19">
        <v>22277.57</v>
      </c>
      <c r="E33" s="19">
        <v>0</v>
      </c>
      <c r="F33" s="19">
        <v>22681.58</v>
      </c>
      <c r="G33" s="19">
        <v>11340.79</v>
      </c>
      <c r="H33" s="19">
        <v>11341.79</v>
      </c>
      <c r="I33" s="19">
        <v>11340.79</v>
      </c>
      <c r="J33" s="19">
        <v>11340.79</v>
      </c>
      <c r="K33" s="19">
        <v>0</v>
      </c>
      <c r="L33" s="19">
        <v>11340.79</v>
      </c>
      <c r="M33" s="19">
        <v>11340.79</v>
      </c>
      <c r="N33" s="20">
        <f t="shared" si="5"/>
        <v>123974.89000000004</v>
      </c>
      <c r="O33" s="20">
        <f t="shared" si="6"/>
        <v>10331.240833333337</v>
      </c>
      <c r="P33" s="21">
        <v>11340.79</v>
      </c>
      <c r="Q33" s="22">
        <v>2.8899999999999999E-2</v>
      </c>
      <c r="R33" s="17">
        <f t="shared" si="7"/>
        <v>11668.538831000002</v>
      </c>
      <c r="S33" s="17">
        <f t="shared" si="8"/>
        <v>140022.46597200003</v>
      </c>
    </row>
    <row r="34" spans="1:19" ht="12.75" x14ac:dyDescent="0.2">
      <c r="A34" s="18" t="s">
        <v>100</v>
      </c>
      <c r="B34" s="19"/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20">
        <f t="shared" si="5"/>
        <v>0</v>
      </c>
      <c r="O34" s="20">
        <f t="shared" si="6"/>
        <v>0</v>
      </c>
      <c r="P34" s="21">
        <v>8900</v>
      </c>
      <c r="Q34" s="22">
        <v>0</v>
      </c>
      <c r="R34" s="17">
        <f t="shared" si="7"/>
        <v>8900</v>
      </c>
      <c r="S34" s="17">
        <f t="shared" si="8"/>
        <v>106800</v>
      </c>
    </row>
    <row r="35" spans="1:19" ht="12.75" x14ac:dyDescent="0.2">
      <c r="A35" s="18" t="s">
        <v>82</v>
      </c>
      <c r="B35" s="19">
        <v>192.32</v>
      </c>
      <c r="C35" s="19">
        <v>0</v>
      </c>
      <c r="D35" s="19">
        <v>198.08</v>
      </c>
      <c r="E35" s="19">
        <v>0</v>
      </c>
      <c r="F35" s="19">
        <v>198.08</v>
      </c>
      <c r="G35" s="19">
        <v>0</v>
      </c>
      <c r="H35" s="19">
        <v>198.08</v>
      </c>
      <c r="I35" s="19">
        <v>0</v>
      </c>
      <c r="J35" s="19">
        <v>0</v>
      </c>
      <c r="K35" s="19">
        <v>0</v>
      </c>
      <c r="L35" s="19">
        <v>0</v>
      </c>
      <c r="M35" s="19">
        <v>396.16</v>
      </c>
      <c r="N35" s="20">
        <f t="shared" si="5"/>
        <v>1182.72</v>
      </c>
      <c r="O35" s="20">
        <f t="shared" si="6"/>
        <v>98.56</v>
      </c>
      <c r="P35" s="21">
        <v>98.56</v>
      </c>
      <c r="Q35" s="22">
        <v>0</v>
      </c>
      <c r="R35" s="17">
        <f t="shared" si="7"/>
        <v>98.56</v>
      </c>
      <c r="S35" s="17">
        <f t="shared" si="8"/>
        <v>1182.72</v>
      </c>
    </row>
    <row r="36" spans="1:19" ht="12.75" x14ac:dyDescent="0.2">
      <c r="A36" s="18" t="s">
        <v>83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223.96</v>
      </c>
      <c r="N36" s="20">
        <f t="shared" si="5"/>
        <v>223.96</v>
      </c>
      <c r="O36" s="20">
        <f t="shared" si="6"/>
        <v>18.663333333333334</v>
      </c>
      <c r="P36" s="21">
        <v>18.66</v>
      </c>
      <c r="Q36" s="22">
        <v>0</v>
      </c>
      <c r="R36" s="17">
        <f t="shared" si="7"/>
        <v>18.66</v>
      </c>
      <c r="S36" s="17">
        <f t="shared" si="8"/>
        <v>223.92000000000002</v>
      </c>
    </row>
    <row r="37" spans="1:19" ht="12.75" x14ac:dyDescent="0.2">
      <c r="A37" s="18" t="s">
        <v>101</v>
      </c>
      <c r="B37" s="19">
        <v>0</v>
      </c>
      <c r="C37" s="19">
        <v>0</v>
      </c>
      <c r="D37" s="19">
        <v>0</v>
      </c>
      <c r="E37" s="19">
        <v>269.24</v>
      </c>
      <c r="F37" s="19">
        <v>0</v>
      </c>
      <c r="G37" s="19">
        <v>223.96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f t="shared" si="5"/>
        <v>493.20000000000005</v>
      </c>
      <c r="O37" s="20">
        <f t="shared" si="6"/>
        <v>41.1</v>
      </c>
      <c r="P37" s="21">
        <v>41.1</v>
      </c>
      <c r="Q37" s="22">
        <v>0</v>
      </c>
      <c r="R37" s="17">
        <f t="shared" si="7"/>
        <v>41.1</v>
      </c>
      <c r="S37" s="17">
        <f t="shared" si="8"/>
        <v>493.20000000000005</v>
      </c>
    </row>
    <row r="38" spans="1:19" ht="12.75" x14ac:dyDescent="0.2">
      <c r="A38" s="18" t="s">
        <v>21</v>
      </c>
      <c r="B38" s="19">
        <v>137.55000000000001</v>
      </c>
      <c r="C38" s="19">
        <v>0</v>
      </c>
      <c r="D38" s="19">
        <v>202.4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215.95</v>
      </c>
      <c r="L38" s="19">
        <v>2054.35</v>
      </c>
      <c r="M38" s="19">
        <v>0</v>
      </c>
      <c r="N38" s="20">
        <f t="shared" si="5"/>
        <v>2610.25</v>
      </c>
      <c r="O38" s="20">
        <f t="shared" si="6"/>
        <v>217.52083333333334</v>
      </c>
      <c r="P38" s="21">
        <v>217.52</v>
      </c>
      <c r="Q38" s="22">
        <v>0</v>
      </c>
      <c r="R38" s="17">
        <f t="shared" si="7"/>
        <v>217.52</v>
      </c>
      <c r="S38" s="17">
        <f t="shared" si="8"/>
        <v>2610.2400000000002</v>
      </c>
    </row>
    <row r="39" spans="1:19" ht="12.75" x14ac:dyDescent="0.2">
      <c r="A39" s="18" t="s">
        <v>22</v>
      </c>
      <c r="B39" s="19">
        <v>3083</v>
      </c>
      <c r="C39" s="19">
        <v>1604.2</v>
      </c>
      <c r="D39" s="19">
        <v>1545.5</v>
      </c>
      <c r="E39" s="19">
        <v>1611.7</v>
      </c>
      <c r="F39" s="19">
        <v>1624.05</v>
      </c>
      <c r="G39" s="19">
        <v>926.4</v>
      </c>
      <c r="H39" s="19">
        <v>885.45</v>
      </c>
      <c r="I39" s="19">
        <v>871.25</v>
      </c>
      <c r="J39" s="19">
        <v>925.7</v>
      </c>
      <c r="K39" s="19">
        <v>861.65</v>
      </c>
      <c r="L39" s="19">
        <v>884.6</v>
      </c>
      <c r="M39" s="19">
        <v>871.9</v>
      </c>
      <c r="N39" s="20">
        <f t="shared" si="5"/>
        <v>15695.4</v>
      </c>
      <c r="O39" s="20">
        <f t="shared" si="6"/>
        <v>1307.95</v>
      </c>
      <c r="P39" s="21">
        <v>1307.95</v>
      </c>
      <c r="Q39" s="22">
        <v>0</v>
      </c>
      <c r="R39" s="17">
        <f t="shared" si="7"/>
        <v>1307.95</v>
      </c>
      <c r="S39" s="17">
        <f t="shared" si="8"/>
        <v>15695.400000000001</v>
      </c>
    </row>
    <row r="40" spans="1:19" ht="12.75" x14ac:dyDescent="0.2">
      <c r="A40" s="18" t="s">
        <v>23</v>
      </c>
      <c r="B40" s="19">
        <v>390</v>
      </c>
      <c r="C40" s="19">
        <v>0</v>
      </c>
      <c r="D40" s="19">
        <v>0</v>
      </c>
      <c r="E40" s="19">
        <v>0</v>
      </c>
      <c r="F40" s="19">
        <v>600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120</v>
      </c>
      <c r="M40" s="19">
        <v>150</v>
      </c>
      <c r="N40" s="20">
        <f t="shared" si="5"/>
        <v>1260</v>
      </c>
      <c r="O40" s="20">
        <f t="shared" si="6"/>
        <v>105</v>
      </c>
      <c r="P40" s="21">
        <v>105</v>
      </c>
      <c r="Q40" s="22">
        <v>2.8899999999999999E-2</v>
      </c>
      <c r="R40" s="17">
        <f t="shared" si="7"/>
        <v>108.03449999999999</v>
      </c>
      <c r="S40" s="17">
        <f t="shared" si="8"/>
        <v>1296.414</v>
      </c>
    </row>
    <row r="41" spans="1:19" ht="12.75" x14ac:dyDescent="0.2">
      <c r="A41" s="18" t="s">
        <v>102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300</v>
      </c>
      <c r="J41" s="19">
        <v>540</v>
      </c>
      <c r="K41" s="19">
        <v>190</v>
      </c>
      <c r="L41" s="19">
        <v>0</v>
      </c>
      <c r="M41" s="19">
        <v>0</v>
      </c>
      <c r="N41" s="20">
        <f t="shared" si="5"/>
        <v>1030</v>
      </c>
      <c r="O41" s="20">
        <f t="shared" si="6"/>
        <v>85.833333333333329</v>
      </c>
      <c r="P41" s="21">
        <v>85.83</v>
      </c>
      <c r="Q41" s="22">
        <v>2.8899999999999999E-2</v>
      </c>
      <c r="R41" s="17">
        <f t="shared" si="7"/>
        <v>88.310486999999995</v>
      </c>
      <c r="S41" s="17">
        <f t="shared" si="8"/>
        <v>1059.7258440000001</v>
      </c>
    </row>
    <row r="42" spans="1:19" ht="12.75" x14ac:dyDescent="0.2">
      <c r="A42" s="18" t="s">
        <v>24</v>
      </c>
      <c r="B42" s="19">
        <v>674</v>
      </c>
      <c r="C42" s="19">
        <v>0</v>
      </c>
      <c r="D42" s="19">
        <v>400</v>
      </c>
      <c r="E42" s="19">
        <v>301.67</v>
      </c>
      <c r="F42" s="19">
        <v>38.4</v>
      </c>
      <c r="G42" s="19">
        <v>46.95</v>
      </c>
      <c r="H42" s="19">
        <v>718.34</v>
      </c>
      <c r="I42" s="19">
        <v>738.1</v>
      </c>
      <c r="J42" s="19">
        <v>676</v>
      </c>
      <c r="K42" s="19">
        <v>800.24</v>
      </c>
      <c r="L42" s="19">
        <v>0</v>
      </c>
      <c r="M42" s="19">
        <v>1519.28</v>
      </c>
      <c r="N42" s="20">
        <f t="shared" si="5"/>
        <v>5912.98</v>
      </c>
      <c r="O42" s="20">
        <f t="shared" si="6"/>
        <v>492.74833333333328</v>
      </c>
      <c r="P42" s="21">
        <v>492.75</v>
      </c>
      <c r="Q42" s="22">
        <v>2.8899999999999999E-2</v>
      </c>
      <c r="R42" s="17">
        <f t="shared" si="7"/>
        <v>506.990475</v>
      </c>
      <c r="S42" s="17">
        <f t="shared" si="8"/>
        <v>6083.8856999999998</v>
      </c>
    </row>
    <row r="43" spans="1:19" ht="12.75" x14ac:dyDescent="0.2">
      <c r="A43" s="18" t="s">
        <v>25</v>
      </c>
      <c r="B43" s="19">
        <v>1012.84</v>
      </c>
      <c r="C43" s="19">
        <v>225</v>
      </c>
      <c r="D43" s="19">
        <v>278.94</v>
      </c>
      <c r="E43" s="19">
        <v>225</v>
      </c>
      <c r="F43" s="19">
        <v>71.92</v>
      </c>
      <c r="G43" s="19">
        <v>0</v>
      </c>
      <c r="H43" s="19">
        <v>0</v>
      </c>
      <c r="I43" s="19">
        <v>0</v>
      </c>
      <c r="J43" s="19">
        <v>0</v>
      </c>
      <c r="K43" s="19">
        <v>60</v>
      </c>
      <c r="L43" s="19">
        <v>65</v>
      </c>
      <c r="M43" s="19">
        <v>0</v>
      </c>
      <c r="N43" s="20">
        <f t="shared" si="5"/>
        <v>1938.7000000000003</v>
      </c>
      <c r="O43" s="20">
        <f t="shared" si="6"/>
        <v>161.55833333333337</v>
      </c>
      <c r="P43" s="21">
        <v>161.56</v>
      </c>
      <c r="Q43" s="22">
        <v>2.8899999999999999E-2</v>
      </c>
      <c r="R43" s="17">
        <f t="shared" si="7"/>
        <v>166.229084</v>
      </c>
      <c r="S43" s="17">
        <f t="shared" si="8"/>
        <v>1994.749008</v>
      </c>
    </row>
    <row r="44" spans="1:19" ht="12.75" x14ac:dyDescent="0.2">
      <c r="A44" s="18" t="s">
        <v>84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206.68</v>
      </c>
      <c r="H44" s="19">
        <v>0</v>
      </c>
      <c r="I44" s="19">
        <v>206.68</v>
      </c>
      <c r="J44" s="19">
        <v>206.68</v>
      </c>
      <c r="K44" s="19">
        <v>206.68</v>
      </c>
      <c r="L44" s="19">
        <v>206.68</v>
      </c>
      <c r="M44" s="19">
        <v>206.73</v>
      </c>
      <c r="N44" s="20">
        <f t="shared" si="5"/>
        <v>1240.1300000000001</v>
      </c>
      <c r="O44" s="20">
        <f t="shared" si="6"/>
        <v>103.34416666666668</v>
      </c>
      <c r="P44" s="21">
        <f>1240.13</f>
        <v>1240.1300000000001</v>
      </c>
      <c r="Q44" s="22">
        <v>2.8899999999999999E-2</v>
      </c>
      <c r="R44" s="17">
        <f t="shared" si="7"/>
        <v>1275.9697570000001</v>
      </c>
      <c r="S44" s="17">
        <f t="shared" si="8"/>
        <v>15311.637084000002</v>
      </c>
    </row>
    <row r="45" spans="1:19" ht="12.75" x14ac:dyDescent="0.2">
      <c r="A45" s="18" t="s">
        <v>26</v>
      </c>
      <c r="B45" s="19">
        <v>1699.6</v>
      </c>
      <c r="C45" s="19">
        <v>1748.43</v>
      </c>
      <c r="D45" s="19">
        <v>1706.68</v>
      </c>
      <c r="E45" s="19">
        <v>1743.15</v>
      </c>
      <c r="F45" s="19">
        <v>1827.79</v>
      </c>
      <c r="G45" s="19">
        <v>1776.77</v>
      </c>
      <c r="H45" s="19">
        <v>1859.44</v>
      </c>
      <c r="I45" s="19">
        <v>1765.59</v>
      </c>
      <c r="J45" s="19">
        <v>1838.9</v>
      </c>
      <c r="K45" s="19">
        <v>1905.56</v>
      </c>
      <c r="L45" s="19">
        <v>2179.6999999999998</v>
      </c>
      <c r="M45" s="19">
        <v>2186.41</v>
      </c>
      <c r="N45" s="20">
        <f t="shared" ref="N45:N60" si="9">SUM(B45:M45)</f>
        <v>22238.020000000004</v>
      </c>
      <c r="O45" s="20">
        <f t="shared" ref="O45:O60" si="10">N45/12</f>
        <v>1853.1683333333337</v>
      </c>
      <c r="P45" s="21">
        <v>1853.17</v>
      </c>
      <c r="Q45" s="22">
        <v>2.8899999999999999E-2</v>
      </c>
      <c r="R45" s="17">
        <f t="shared" ref="R45:R61" si="11">P45*Q45+P45</f>
        <v>1906.726613</v>
      </c>
      <c r="S45" s="17">
        <f t="shared" ref="S45:S61" si="12">R45*12</f>
        <v>22880.719356000001</v>
      </c>
    </row>
    <row r="46" spans="1:19" ht="12.75" x14ac:dyDescent="0.2">
      <c r="A46" s="18" t="s">
        <v>27</v>
      </c>
      <c r="B46" s="19">
        <v>16.440000000000001</v>
      </c>
      <c r="C46" s="19">
        <v>0</v>
      </c>
      <c r="D46" s="19">
        <v>14</v>
      </c>
      <c r="E46" s="19">
        <v>0</v>
      </c>
      <c r="F46" s="19">
        <v>0</v>
      </c>
      <c r="G46" s="19">
        <v>0</v>
      </c>
      <c r="H46" s="19">
        <v>0</v>
      </c>
      <c r="I46" s="19">
        <v>4.0999999999999996</v>
      </c>
      <c r="J46" s="19">
        <v>0</v>
      </c>
      <c r="K46" s="19">
        <v>0</v>
      </c>
      <c r="L46" s="19">
        <v>2.4</v>
      </c>
      <c r="M46" s="19">
        <v>0</v>
      </c>
      <c r="N46" s="20">
        <f t="shared" si="9"/>
        <v>36.94</v>
      </c>
      <c r="O46" s="20">
        <f t="shared" si="10"/>
        <v>3.0783333333333331</v>
      </c>
      <c r="P46" s="21">
        <v>20</v>
      </c>
      <c r="Q46" s="22">
        <v>2.8899999999999999E-2</v>
      </c>
      <c r="R46" s="17">
        <f t="shared" si="11"/>
        <v>20.577999999999999</v>
      </c>
      <c r="S46" s="17">
        <f t="shared" si="12"/>
        <v>246.93599999999998</v>
      </c>
    </row>
    <row r="47" spans="1:19" ht="12.75" x14ac:dyDescent="0.2">
      <c r="A47" s="18" t="s">
        <v>99</v>
      </c>
      <c r="B47" s="19">
        <v>0</v>
      </c>
      <c r="C47" s="19">
        <v>0</v>
      </c>
      <c r="D47" s="19">
        <v>579</v>
      </c>
      <c r="E47" s="19">
        <v>0</v>
      </c>
      <c r="F47" s="19">
        <v>0</v>
      </c>
      <c r="G47" s="19">
        <v>0</v>
      </c>
      <c r="H47" s="19">
        <v>0</v>
      </c>
      <c r="I47" s="19">
        <v>172</v>
      </c>
      <c r="J47" s="19">
        <v>0</v>
      </c>
      <c r="K47" s="19">
        <v>0</v>
      </c>
      <c r="L47" s="19">
        <v>0</v>
      </c>
      <c r="M47" s="19">
        <v>0</v>
      </c>
      <c r="N47" s="20">
        <f t="shared" si="9"/>
        <v>751</v>
      </c>
      <c r="O47" s="20">
        <f t="shared" si="10"/>
        <v>62.583333333333336</v>
      </c>
      <c r="P47" s="21">
        <f>340/12</f>
        <v>28.333333333333332</v>
      </c>
      <c r="Q47" s="22">
        <v>2.8899999999999999E-2</v>
      </c>
      <c r="R47" s="17">
        <f t="shared" si="11"/>
        <v>29.152166666666666</v>
      </c>
      <c r="S47" s="17">
        <f t="shared" si="12"/>
        <v>349.82600000000002</v>
      </c>
    </row>
    <row r="48" spans="1:19" ht="12.75" x14ac:dyDescent="0.2">
      <c r="A48" s="18" t="s">
        <v>85</v>
      </c>
      <c r="B48" s="19">
        <v>195.82</v>
      </c>
      <c r="C48" s="19">
        <v>175</v>
      </c>
      <c r="D48" s="19">
        <v>150</v>
      </c>
      <c r="E48" s="19">
        <v>0</v>
      </c>
      <c r="F48" s="19">
        <v>22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0">
        <f t="shared" si="9"/>
        <v>542.81999999999994</v>
      </c>
      <c r="O48" s="20">
        <f t="shared" si="10"/>
        <v>45.234999999999992</v>
      </c>
      <c r="P48" s="21">
        <v>45.24</v>
      </c>
      <c r="Q48" s="22">
        <v>2.8899999999999999E-2</v>
      </c>
      <c r="R48" s="17">
        <f t="shared" si="11"/>
        <v>46.547436000000005</v>
      </c>
      <c r="S48" s="17">
        <f t="shared" si="12"/>
        <v>558.56923200000006</v>
      </c>
    </row>
    <row r="49" spans="1:19" ht="12.75" x14ac:dyDescent="0.2">
      <c r="A49" s="18" t="s">
        <v>130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386.75</v>
      </c>
      <c r="N49" s="20">
        <f t="shared" si="9"/>
        <v>386.75</v>
      </c>
      <c r="O49" s="20">
        <f t="shared" si="10"/>
        <v>32.229166666666664</v>
      </c>
      <c r="P49" s="21">
        <v>32.229999999999997</v>
      </c>
      <c r="Q49" s="22">
        <v>2.8899999999999999E-2</v>
      </c>
      <c r="R49" s="17">
        <f t="shared" si="11"/>
        <v>33.161446999999995</v>
      </c>
      <c r="S49" s="17">
        <f t="shared" si="12"/>
        <v>397.93736399999995</v>
      </c>
    </row>
    <row r="50" spans="1:19" ht="12.75" x14ac:dyDescent="0.2">
      <c r="A50" s="18" t="s">
        <v>29</v>
      </c>
      <c r="B50" s="19">
        <v>24398.639999999999</v>
      </c>
      <c r="C50" s="19">
        <v>27794.36</v>
      </c>
      <c r="D50" s="19">
        <v>24483.13</v>
      </c>
      <c r="E50" s="19">
        <v>24441.13</v>
      </c>
      <c r="F50" s="19">
        <v>26626.47</v>
      </c>
      <c r="G50" s="19">
        <v>25161.45</v>
      </c>
      <c r="H50" s="19">
        <v>0</v>
      </c>
      <c r="I50" s="19">
        <v>22930.01</v>
      </c>
      <c r="J50" s="19">
        <v>0</v>
      </c>
      <c r="K50" s="19">
        <v>0</v>
      </c>
      <c r="L50" s="19">
        <v>0</v>
      </c>
      <c r="M50" s="19">
        <v>0</v>
      </c>
      <c r="N50" s="20">
        <f t="shared" si="9"/>
        <v>175835.19000000003</v>
      </c>
      <c r="O50" s="20">
        <f t="shared" si="10"/>
        <v>14652.932500000003</v>
      </c>
      <c r="P50" s="21">
        <v>25000</v>
      </c>
      <c r="Q50" s="22">
        <v>0</v>
      </c>
      <c r="R50" s="17">
        <f t="shared" si="11"/>
        <v>25000</v>
      </c>
      <c r="S50" s="17">
        <f t="shared" si="12"/>
        <v>300000</v>
      </c>
    </row>
    <row r="51" spans="1:19" ht="12.75" x14ac:dyDescent="0.2">
      <c r="A51" s="18" t="s">
        <v>155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>
        <f>SUM(B51:M51)</f>
        <v>0</v>
      </c>
      <c r="O51" s="20">
        <f>N51/12</f>
        <v>0</v>
      </c>
      <c r="P51" s="21">
        <f>(7*25000)/12</f>
        <v>14583.333333333334</v>
      </c>
      <c r="Q51" s="22">
        <v>0</v>
      </c>
      <c r="R51" s="17">
        <f>P51*Q51+P51</f>
        <v>14583.333333333334</v>
      </c>
      <c r="S51" s="17">
        <f>R51*12</f>
        <v>175000</v>
      </c>
    </row>
    <row r="52" spans="1:19" ht="12.75" x14ac:dyDescent="0.2">
      <c r="A52" s="18" t="s">
        <v>30</v>
      </c>
      <c r="B52" s="19">
        <v>770</v>
      </c>
      <c r="C52" s="19">
        <v>0</v>
      </c>
      <c r="D52" s="19">
        <v>0</v>
      </c>
      <c r="E52" s="19">
        <v>0</v>
      </c>
      <c r="F52" s="19">
        <v>770</v>
      </c>
      <c r="G52" s="19">
        <v>1589</v>
      </c>
      <c r="H52" s="19">
        <v>2300</v>
      </c>
      <c r="I52" s="19">
        <v>0</v>
      </c>
      <c r="J52" s="19">
        <v>0</v>
      </c>
      <c r="K52" s="19">
        <v>2500</v>
      </c>
      <c r="L52" s="19">
        <v>2090</v>
      </c>
      <c r="M52" s="19">
        <v>0</v>
      </c>
      <c r="N52" s="20">
        <f>SUM(B52:M52)</f>
        <v>10019</v>
      </c>
      <c r="O52" s="20">
        <f>N52/12</f>
        <v>834.91666666666663</v>
      </c>
      <c r="P52" s="21">
        <v>1000</v>
      </c>
      <c r="Q52" s="22">
        <v>0</v>
      </c>
      <c r="R52" s="17">
        <f>P52*Q52+P52</f>
        <v>1000</v>
      </c>
      <c r="S52" s="17">
        <f>R52*12</f>
        <v>12000</v>
      </c>
    </row>
    <row r="53" spans="1:19" ht="12.75" x14ac:dyDescent="0.2">
      <c r="A53" s="18" t="s">
        <v>131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5688.21</v>
      </c>
      <c r="K53" s="19">
        <v>0</v>
      </c>
      <c r="L53" s="19">
        <v>0</v>
      </c>
      <c r="M53" s="19">
        <v>0</v>
      </c>
      <c r="N53" s="20">
        <f t="shared" si="9"/>
        <v>5688.21</v>
      </c>
      <c r="O53" s="20">
        <f t="shared" si="10"/>
        <v>474.01749999999998</v>
      </c>
      <c r="P53" s="21">
        <v>0</v>
      </c>
      <c r="Q53" s="22">
        <v>2.8899999999999999E-2</v>
      </c>
      <c r="R53" s="17">
        <f t="shared" si="11"/>
        <v>0</v>
      </c>
      <c r="S53" s="17">
        <f t="shared" si="12"/>
        <v>0</v>
      </c>
    </row>
    <row r="54" spans="1:19" ht="12.75" x14ac:dyDescent="0.2">
      <c r="A54" s="18" t="s">
        <v>86</v>
      </c>
      <c r="B54" s="19">
        <v>110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60</v>
      </c>
      <c r="M54" s="19">
        <v>0</v>
      </c>
      <c r="N54" s="20">
        <f t="shared" si="9"/>
        <v>170</v>
      </c>
      <c r="O54" s="20">
        <f t="shared" si="10"/>
        <v>14.166666666666666</v>
      </c>
      <c r="P54" s="21">
        <v>14.17</v>
      </c>
      <c r="Q54" s="22">
        <v>2.8899999999999999E-2</v>
      </c>
      <c r="R54" s="17">
        <f t="shared" ref="R54:R60" si="13">P54*Q54+P54</f>
        <v>14.579513</v>
      </c>
      <c r="S54" s="17">
        <f t="shared" ref="S54:S60" si="14">R54*12</f>
        <v>174.95415600000001</v>
      </c>
    </row>
    <row r="55" spans="1:19" ht="12.75" x14ac:dyDescent="0.2">
      <c r="A55" s="18" t="s">
        <v>103</v>
      </c>
      <c r="B55" s="19">
        <v>2285.69</v>
      </c>
      <c r="C55" s="19">
        <v>2282.94</v>
      </c>
      <c r="D55" s="19">
        <v>2281.71</v>
      </c>
      <c r="E55" s="19">
        <v>1862.9</v>
      </c>
      <c r="F55" s="19">
        <v>2801.81</v>
      </c>
      <c r="G55" s="19">
        <v>2393.91</v>
      </c>
      <c r="H55" s="19">
        <v>2467.0500000000002</v>
      </c>
      <c r="I55" s="19">
        <v>1862.9</v>
      </c>
      <c r="J55" s="19">
        <v>2404.7199999999998</v>
      </c>
      <c r="K55" s="19">
        <v>2419.92</v>
      </c>
      <c r="L55" s="19">
        <v>2400.64</v>
      </c>
      <c r="M55" s="19">
        <v>3862.54</v>
      </c>
      <c r="N55" s="20">
        <f t="shared" si="9"/>
        <v>29326.730000000003</v>
      </c>
      <c r="O55" s="20">
        <f t="shared" si="10"/>
        <v>2443.8941666666669</v>
      </c>
      <c r="P55" s="21">
        <v>2443.89</v>
      </c>
      <c r="Q55" s="22">
        <v>2.8899999999999999E-2</v>
      </c>
      <c r="R55" s="17">
        <f t="shared" si="13"/>
        <v>2514.5184209999998</v>
      </c>
      <c r="S55" s="17">
        <f t="shared" si="14"/>
        <v>30174.221051999997</v>
      </c>
    </row>
    <row r="56" spans="1:19" ht="12.75" x14ac:dyDescent="0.2">
      <c r="A56" s="18" t="s">
        <v>104</v>
      </c>
      <c r="B56" s="19">
        <v>0</v>
      </c>
      <c r="C56" s="19">
        <v>0</v>
      </c>
      <c r="D56" s="19">
        <v>14</v>
      </c>
      <c r="E56" s="19">
        <v>0</v>
      </c>
      <c r="F56" s="19">
        <v>20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f t="shared" si="9"/>
        <v>34</v>
      </c>
      <c r="O56" s="20">
        <f t="shared" si="10"/>
        <v>2.8333333333333335</v>
      </c>
      <c r="P56" s="21">
        <v>2.83</v>
      </c>
      <c r="Q56" s="22">
        <v>2.8899999999999999E-2</v>
      </c>
      <c r="R56" s="17">
        <f t="shared" si="13"/>
        <v>2.9117869999999999</v>
      </c>
      <c r="S56" s="17">
        <f t="shared" si="14"/>
        <v>34.941443999999997</v>
      </c>
    </row>
    <row r="57" spans="1:19" ht="12.75" x14ac:dyDescent="0.2">
      <c r="A57" s="18" t="s">
        <v>31</v>
      </c>
      <c r="B57" s="19">
        <v>17500</v>
      </c>
      <c r="C57" s="19">
        <v>27322</v>
      </c>
      <c r="D57" s="19">
        <v>28000</v>
      </c>
      <c r="E57" s="19">
        <v>28000</v>
      </c>
      <c r="F57" s="19">
        <v>36666</v>
      </c>
      <c r="G57" s="19">
        <v>28000</v>
      </c>
      <c r="H57" s="19">
        <v>28000</v>
      </c>
      <c r="I57" s="19">
        <v>28000</v>
      </c>
      <c r="J57" s="19">
        <v>28000</v>
      </c>
      <c r="K57" s="19">
        <v>28000</v>
      </c>
      <c r="L57" s="19">
        <v>28000</v>
      </c>
      <c r="M57" s="19">
        <v>28000</v>
      </c>
      <c r="N57" s="20">
        <f t="shared" si="9"/>
        <v>333488</v>
      </c>
      <c r="O57" s="20">
        <f t="shared" si="10"/>
        <v>27790.666666666668</v>
      </c>
      <c r="P57" s="21">
        <v>28000</v>
      </c>
      <c r="Q57" s="22">
        <v>2.8899999999999999E-2</v>
      </c>
      <c r="R57" s="17">
        <f t="shared" si="13"/>
        <v>28809.200000000001</v>
      </c>
      <c r="S57" s="17">
        <f t="shared" si="14"/>
        <v>345710.4</v>
      </c>
    </row>
    <row r="58" spans="1:19" ht="12.75" x14ac:dyDescent="0.2">
      <c r="A58" s="18" t="s">
        <v>148</v>
      </c>
      <c r="B58" s="19">
        <v>540</v>
      </c>
      <c r="C58" s="19">
        <v>540</v>
      </c>
      <c r="D58" s="19">
        <v>540</v>
      </c>
      <c r="E58" s="19">
        <v>540</v>
      </c>
      <c r="F58" s="19">
        <v>540</v>
      </c>
      <c r="G58" s="19">
        <v>540</v>
      </c>
      <c r="H58" s="19">
        <v>530</v>
      </c>
      <c r="I58" s="19">
        <v>530</v>
      </c>
      <c r="J58" s="19">
        <v>530</v>
      </c>
      <c r="K58" s="19">
        <v>530</v>
      </c>
      <c r="L58" s="19">
        <v>530</v>
      </c>
      <c r="M58" s="19">
        <v>530</v>
      </c>
      <c r="N58" s="20">
        <f t="shared" si="9"/>
        <v>6420</v>
      </c>
      <c r="O58" s="20">
        <f t="shared" si="10"/>
        <v>535</v>
      </c>
      <c r="P58" s="21">
        <v>530</v>
      </c>
      <c r="Q58" s="22">
        <v>2.8899999999999999E-2</v>
      </c>
      <c r="R58" s="17">
        <f t="shared" si="13"/>
        <v>545.31700000000001</v>
      </c>
      <c r="S58" s="17">
        <f t="shared" si="14"/>
        <v>6543.8040000000001</v>
      </c>
    </row>
    <row r="59" spans="1:19" ht="12.75" x14ac:dyDescent="0.2">
      <c r="A59" s="18" t="s">
        <v>87</v>
      </c>
      <c r="B59" s="19">
        <v>0</v>
      </c>
      <c r="C59" s="19">
        <v>0</v>
      </c>
      <c r="D59" s="19">
        <v>17.899999999999999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32.49</v>
      </c>
      <c r="M59" s="19">
        <v>0</v>
      </c>
      <c r="N59" s="20">
        <f t="shared" si="9"/>
        <v>50.39</v>
      </c>
      <c r="O59" s="20">
        <f t="shared" si="10"/>
        <v>4.1991666666666667</v>
      </c>
      <c r="P59" s="21">
        <v>10</v>
      </c>
      <c r="Q59" s="22">
        <v>2.8899999999999999E-2</v>
      </c>
      <c r="R59" s="17">
        <f t="shared" si="13"/>
        <v>10.289</v>
      </c>
      <c r="S59" s="17">
        <f t="shared" si="14"/>
        <v>123.46799999999999</v>
      </c>
    </row>
    <row r="60" spans="1:19" ht="12.75" x14ac:dyDescent="0.2">
      <c r="A60" s="18" t="s">
        <v>132</v>
      </c>
      <c r="B60" s="19">
        <v>0</v>
      </c>
      <c r="C60" s="19">
        <v>49.99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154.6</v>
      </c>
      <c r="N60" s="20">
        <f t="shared" si="9"/>
        <v>204.59</v>
      </c>
      <c r="O60" s="20">
        <f t="shared" si="10"/>
        <v>17.049166666666668</v>
      </c>
      <c r="P60" s="21">
        <v>20</v>
      </c>
      <c r="Q60" s="22">
        <v>2.8899999999999999E-2</v>
      </c>
      <c r="R60" s="17">
        <f t="shared" si="13"/>
        <v>20.577999999999999</v>
      </c>
      <c r="S60" s="17">
        <f t="shared" si="14"/>
        <v>246.93599999999998</v>
      </c>
    </row>
    <row r="61" spans="1:19" ht="12.75" x14ac:dyDescent="0.2">
      <c r="A61" s="18" t="s">
        <v>133</v>
      </c>
      <c r="B61" s="19">
        <v>0</v>
      </c>
      <c r="C61" s="19">
        <v>0</v>
      </c>
      <c r="D61" s="19">
        <v>402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20">
        <f>SUM(B61:M61)</f>
        <v>402</v>
      </c>
      <c r="O61" s="20">
        <f>N61/12</f>
        <v>33.5</v>
      </c>
      <c r="P61" s="21">
        <v>33.5</v>
      </c>
      <c r="Q61" s="22">
        <v>2.8899999999999999E-2</v>
      </c>
      <c r="R61" s="17">
        <f t="shared" si="11"/>
        <v>34.468150000000001</v>
      </c>
      <c r="S61" s="17">
        <f t="shared" si="12"/>
        <v>413.61779999999999</v>
      </c>
    </row>
    <row r="62" spans="1:19" ht="12.75" x14ac:dyDescent="0.2">
      <c r="A62" s="18" t="s">
        <v>151</v>
      </c>
      <c r="B62" s="19">
        <v>37.4</v>
      </c>
      <c r="C62" s="19">
        <v>172.8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f>SUM(B62:M62)</f>
        <v>210.20000000000002</v>
      </c>
      <c r="O62" s="20">
        <f>N62/12</f>
        <v>17.516666666666669</v>
      </c>
      <c r="P62" s="21">
        <v>0</v>
      </c>
      <c r="Q62" s="22">
        <v>2.8899999999999999E-2</v>
      </c>
      <c r="R62" s="17">
        <f>P62*Q62+P62</f>
        <v>0</v>
      </c>
      <c r="S62" s="17">
        <f>R62*12</f>
        <v>0</v>
      </c>
    </row>
    <row r="63" spans="1:19" x14ac:dyDescent="0.2">
      <c r="A63" s="23" t="s">
        <v>69</v>
      </c>
      <c r="B63" s="24">
        <f t="shared" ref="B63:N63" si="15">SUM(B31:B62)</f>
        <v>69701.509999999995</v>
      </c>
      <c r="C63" s="24">
        <f t="shared" si="15"/>
        <v>73291.140000000014</v>
      </c>
      <c r="D63" s="24">
        <f t="shared" si="15"/>
        <v>88779.12</v>
      </c>
      <c r="E63" s="24">
        <f t="shared" si="15"/>
        <v>64907.12</v>
      </c>
      <c r="F63" s="24">
        <f t="shared" si="15"/>
        <v>100400.43</v>
      </c>
      <c r="G63" s="24">
        <f t="shared" si="15"/>
        <v>78118.240000000005</v>
      </c>
      <c r="H63" s="24">
        <f t="shared" si="15"/>
        <v>54212.480000000003</v>
      </c>
      <c r="I63" s="24">
        <f t="shared" si="15"/>
        <v>74633.75</v>
      </c>
      <c r="J63" s="24">
        <f t="shared" si="15"/>
        <v>58060.41</v>
      </c>
      <c r="K63" s="24">
        <f t="shared" si="15"/>
        <v>43602.33</v>
      </c>
      <c r="L63" s="24">
        <f t="shared" si="15"/>
        <v>55878.98</v>
      </c>
      <c r="M63" s="24">
        <f t="shared" si="15"/>
        <v>55741.450000000004</v>
      </c>
      <c r="N63" s="26">
        <f t="shared" si="15"/>
        <v>817326.96</v>
      </c>
      <c r="O63" s="26">
        <f>N63/12</f>
        <v>68110.58</v>
      </c>
      <c r="P63" s="26">
        <f>SUM(P31:P62)</f>
        <v>104068.043011715</v>
      </c>
      <c r="Q63" s="8"/>
      <c r="R63" s="25">
        <f>SUM(R31:R62)</f>
        <v>105848.38648662834</v>
      </c>
      <c r="S63" s="25">
        <f>SUM(S31:S62)</f>
        <v>1270180.6378395401</v>
      </c>
    </row>
    <row r="64" spans="1:19" x14ac:dyDescent="0.2">
      <c r="A64" s="14" t="s">
        <v>32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  <c r="O64" s="26"/>
      <c r="P64" s="26"/>
      <c r="Q64" s="8"/>
      <c r="R64" s="17"/>
      <c r="S64" s="17"/>
    </row>
    <row r="65" spans="1:19" ht="12.75" x14ac:dyDescent="0.2">
      <c r="A65" s="18" t="s">
        <v>33</v>
      </c>
      <c r="B65" s="19">
        <v>1380</v>
      </c>
      <c r="C65" s="19">
        <v>1920</v>
      </c>
      <c r="D65" s="19">
        <v>1980</v>
      </c>
      <c r="E65" s="19">
        <v>1720</v>
      </c>
      <c r="F65" s="19">
        <v>1380</v>
      </c>
      <c r="G65" s="19">
        <v>1540</v>
      </c>
      <c r="H65" s="19">
        <v>1380</v>
      </c>
      <c r="I65" s="19">
        <v>1530</v>
      </c>
      <c r="J65" s="19">
        <v>1380</v>
      </c>
      <c r="K65" s="19">
        <v>1380</v>
      </c>
      <c r="L65" s="19">
        <v>1530</v>
      </c>
      <c r="M65" s="19">
        <v>1560</v>
      </c>
      <c r="N65" s="20">
        <f>SUM(B65:M65)</f>
        <v>18680</v>
      </c>
      <c r="O65" s="20">
        <f>N65/12</f>
        <v>1556.6666666666667</v>
      </c>
      <c r="P65" s="21">
        <v>1556.67</v>
      </c>
      <c r="Q65" s="22">
        <v>2.8899999999999999E-2</v>
      </c>
      <c r="R65" s="17">
        <f>P65*Q65+P65</f>
        <v>1601.6577630000002</v>
      </c>
      <c r="S65" s="17">
        <f>R65*12</f>
        <v>19219.893156000002</v>
      </c>
    </row>
    <row r="66" spans="1:19" ht="12.75" x14ac:dyDescent="0.2">
      <c r="A66" s="18" t="s">
        <v>34</v>
      </c>
      <c r="B66" s="19">
        <v>2500</v>
      </c>
      <c r="C66" s="19">
        <v>2500</v>
      </c>
      <c r="D66" s="19">
        <v>3150</v>
      </c>
      <c r="E66" s="19">
        <v>2499.5</v>
      </c>
      <c r="F66" s="19">
        <v>2495</v>
      </c>
      <c r="G66" s="19">
        <v>2495</v>
      </c>
      <c r="H66" s="19">
        <v>2510</v>
      </c>
      <c r="I66" s="19">
        <v>2495</v>
      </c>
      <c r="J66" s="19">
        <v>2495</v>
      </c>
      <c r="K66" s="19">
        <v>2510</v>
      </c>
      <c r="L66" s="19">
        <v>2495</v>
      </c>
      <c r="M66" s="19">
        <v>2495</v>
      </c>
      <c r="N66" s="20">
        <f t="shared" ref="N66:N82" si="16">SUM(B66:M66)</f>
        <v>30639.5</v>
      </c>
      <c r="O66" s="20">
        <f t="shared" ref="O66:O82" si="17">N66/12</f>
        <v>2553.2916666666665</v>
      </c>
      <c r="P66" s="21">
        <v>2553.29</v>
      </c>
      <c r="Q66" s="22">
        <v>2.8899999999999999E-2</v>
      </c>
      <c r="R66" s="17">
        <v>3762</v>
      </c>
      <c r="S66" s="17">
        <f t="shared" ref="S66:S82" si="18">R66*12</f>
        <v>45144</v>
      </c>
    </row>
    <row r="67" spans="1:19" ht="12.75" x14ac:dyDescent="0.2">
      <c r="A67" s="18" t="s">
        <v>35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118.5</v>
      </c>
      <c r="H67" s="19">
        <v>0</v>
      </c>
      <c r="I67" s="19">
        <v>274.89999999999998</v>
      </c>
      <c r="J67" s="19">
        <v>0</v>
      </c>
      <c r="K67" s="19">
        <v>0</v>
      </c>
      <c r="L67" s="19">
        <v>0</v>
      </c>
      <c r="M67" s="19">
        <v>0</v>
      </c>
      <c r="N67" s="20">
        <f t="shared" si="16"/>
        <v>393.4</v>
      </c>
      <c r="O67" s="20">
        <f t="shared" si="17"/>
        <v>32.783333333333331</v>
      </c>
      <c r="P67" s="21">
        <v>50</v>
      </c>
      <c r="Q67" s="22">
        <v>2.8899999999999999E-2</v>
      </c>
      <c r="R67" s="17">
        <f t="shared" ref="R67:R82" si="19">P67*Q67+P67</f>
        <v>51.445</v>
      </c>
      <c r="S67" s="17">
        <f t="shared" si="18"/>
        <v>617.34</v>
      </c>
    </row>
    <row r="68" spans="1:19" ht="12.75" x14ac:dyDescent="0.2">
      <c r="A68" s="18" t="s">
        <v>36</v>
      </c>
      <c r="B68" s="19">
        <v>0</v>
      </c>
      <c r="C68" s="19">
        <v>0</v>
      </c>
      <c r="D68" s="19">
        <v>0</v>
      </c>
      <c r="E68" s="19">
        <v>2435.1999999999998</v>
      </c>
      <c r="F68" s="19">
        <v>0</v>
      </c>
      <c r="G68" s="19">
        <v>0</v>
      </c>
      <c r="H68" s="19">
        <v>0</v>
      </c>
      <c r="I68" s="19">
        <v>920</v>
      </c>
      <c r="J68" s="19">
        <v>0</v>
      </c>
      <c r="K68" s="19">
        <v>0</v>
      </c>
      <c r="L68" s="19">
        <v>0</v>
      </c>
      <c r="M68" s="19">
        <v>0</v>
      </c>
      <c r="N68" s="20">
        <f t="shared" si="16"/>
        <v>3355.2</v>
      </c>
      <c r="O68" s="20">
        <f t="shared" si="17"/>
        <v>279.59999999999997</v>
      </c>
      <c r="P68" s="21">
        <v>279.60000000000002</v>
      </c>
      <c r="Q68" s="22">
        <v>2.8899999999999999E-2</v>
      </c>
      <c r="R68" s="17">
        <f t="shared" si="19"/>
        <v>287.68044000000003</v>
      </c>
      <c r="S68" s="17">
        <f t="shared" si="18"/>
        <v>3452.1652800000002</v>
      </c>
    </row>
    <row r="69" spans="1:19" ht="12.75" x14ac:dyDescent="0.2">
      <c r="A69" s="18" t="s">
        <v>37</v>
      </c>
      <c r="B69" s="19">
        <v>0</v>
      </c>
      <c r="C69" s="19">
        <v>100</v>
      </c>
      <c r="D69" s="19">
        <v>0</v>
      </c>
      <c r="E69" s="19">
        <v>0</v>
      </c>
      <c r="F69" s="19">
        <v>0</v>
      </c>
      <c r="G69" s="19">
        <v>340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20">
        <f t="shared" si="16"/>
        <v>440</v>
      </c>
      <c r="O69" s="20">
        <f t="shared" si="17"/>
        <v>36.666666666666664</v>
      </c>
      <c r="P69" s="21">
        <v>36.67</v>
      </c>
      <c r="Q69" s="22">
        <v>2.8899999999999999E-2</v>
      </c>
      <c r="R69" s="17">
        <f t="shared" si="19"/>
        <v>37.729762999999998</v>
      </c>
      <c r="S69" s="17">
        <f t="shared" si="18"/>
        <v>452.75715600000001</v>
      </c>
    </row>
    <row r="70" spans="1:19" ht="12.75" x14ac:dyDescent="0.2">
      <c r="A70" s="18" t="s">
        <v>105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2734.61</v>
      </c>
      <c r="N70" s="20">
        <f t="shared" si="16"/>
        <v>2734.61</v>
      </c>
      <c r="O70" s="20">
        <f t="shared" si="17"/>
        <v>227.88416666666669</v>
      </c>
      <c r="P70" s="21">
        <v>227.88</v>
      </c>
      <c r="Q70" s="22">
        <v>2.8899999999999999E-2</v>
      </c>
      <c r="R70" s="17">
        <f t="shared" ref="R70:R75" si="20">P70*Q70+P70</f>
        <v>234.465732</v>
      </c>
      <c r="S70" s="17">
        <f t="shared" ref="S70:S75" si="21">R70*12</f>
        <v>2813.588784</v>
      </c>
    </row>
    <row r="71" spans="1:19" ht="12.75" x14ac:dyDescent="0.2">
      <c r="A71" s="18" t="s">
        <v>38</v>
      </c>
      <c r="B71" s="19">
        <v>1781.11</v>
      </c>
      <c r="C71" s="19">
        <v>0</v>
      </c>
      <c r="D71" s="19">
        <v>0</v>
      </c>
      <c r="E71" s="19">
        <v>1724.36</v>
      </c>
      <c r="F71" s="19">
        <v>248.74</v>
      </c>
      <c r="G71" s="19">
        <v>1445</v>
      </c>
      <c r="H71" s="19">
        <v>2747.71</v>
      </c>
      <c r="I71" s="19">
        <v>985.21</v>
      </c>
      <c r="J71" s="19">
        <v>0</v>
      </c>
      <c r="K71" s="19">
        <v>1878.05</v>
      </c>
      <c r="L71" s="19">
        <v>2287</v>
      </c>
      <c r="M71" s="19">
        <v>0</v>
      </c>
      <c r="N71" s="20">
        <f t="shared" si="16"/>
        <v>13097.18</v>
      </c>
      <c r="O71" s="20">
        <f t="shared" si="17"/>
        <v>1091.4316666666666</v>
      </c>
      <c r="P71" s="21">
        <v>1091.43</v>
      </c>
      <c r="Q71" s="22">
        <v>2.8899999999999999E-2</v>
      </c>
      <c r="R71" s="17">
        <f t="shared" si="20"/>
        <v>1122.972327</v>
      </c>
      <c r="S71" s="17">
        <f t="shared" si="21"/>
        <v>13475.667923999999</v>
      </c>
    </row>
    <row r="72" spans="1:19" ht="12.75" x14ac:dyDescent="0.2">
      <c r="A72" s="18" t="s">
        <v>39</v>
      </c>
      <c r="B72" s="19">
        <v>1723.91</v>
      </c>
      <c r="C72" s="19">
        <v>0</v>
      </c>
      <c r="D72" s="19">
        <v>3869.09</v>
      </c>
      <c r="E72" s="19">
        <v>4772.1899999999996</v>
      </c>
      <c r="F72" s="19">
        <v>2676.43</v>
      </c>
      <c r="G72" s="19">
        <v>1578.38</v>
      </c>
      <c r="H72" s="19">
        <v>623.70000000000005</v>
      </c>
      <c r="I72" s="19">
        <v>2886.2</v>
      </c>
      <c r="J72" s="19">
        <v>1617.5</v>
      </c>
      <c r="K72" s="19">
        <v>684.5</v>
      </c>
      <c r="L72" s="19">
        <v>0</v>
      </c>
      <c r="M72" s="19">
        <v>0</v>
      </c>
      <c r="N72" s="20">
        <f t="shared" si="16"/>
        <v>20431.900000000001</v>
      </c>
      <c r="O72" s="20">
        <f t="shared" si="17"/>
        <v>1702.6583333333335</v>
      </c>
      <c r="P72" s="21">
        <v>1702.66</v>
      </c>
      <c r="Q72" s="22">
        <v>2.8899999999999999E-2</v>
      </c>
      <c r="R72" s="17">
        <f t="shared" si="20"/>
        <v>1751.8668740000001</v>
      </c>
      <c r="S72" s="17">
        <f t="shared" si="21"/>
        <v>21022.402488</v>
      </c>
    </row>
    <row r="73" spans="1:19" ht="12.75" x14ac:dyDescent="0.2">
      <c r="A73" s="18" t="s">
        <v>88</v>
      </c>
      <c r="B73" s="19">
        <v>1434.62</v>
      </c>
      <c r="C73" s="19">
        <v>0</v>
      </c>
      <c r="D73" s="19">
        <v>482.75</v>
      </c>
      <c r="E73" s="19">
        <v>482.75</v>
      </c>
      <c r="F73" s="19">
        <v>0</v>
      </c>
      <c r="G73" s="19">
        <v>0</v>
      </c>
      <c r="H73" s="19">
        <v>0</v>
      </c>
      <c r="I73" s="19">
        <v>349.3</v>
      </c>
      <c r="J73" s="19">
        <v>83.5</v>
      </c>
      <c r="K73" s="19">
        <v>0</v>
      </c>
      <c r="L73" s="19">
        <v>0</v>
      </c>
      <c r="M73" s="19">
        <v>0</v>
      </c>
      <c r="N73" s="20">
        <f t="shared" si="16"/>
        <v>2832.92</v>
      </c>
      <c r="O73" s="20">
        <f t="shared" si="17"/>
        <v>236.07666666666668</v>
      </c>
      <c r="P73" s="21">
        <v>236.08</v>
      </c>
      <c r="Q73" s="22">
        <v>2.8899999999999999E-2</v>
      </c>
      <c r="R73" s="17">
        <f t="shared" si="20"/>
        <v>242.90271200000001</v>
      </c>
      <c r="S73" s="17">
        <f t="shared" si="21"/>
        <v>2914.8325439999999</v>
      </c>
    </row>
    <row r="74" spans="1:19" ht="12.75" x14ac:dyDescent="0.2">
      <c r="A74" s="18" t="s">
        <v>40</v>
      </c>
      <c r="B74" s="19">
        <v>128.37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0">
        <f t="shared" si="16"/>
        <v>128.37</v>
      </c>
      <c r="O74" s="20">
        <f t="shared" si="17"/>
        <v>10.6975</v>
      </c>
      <c r="P74" s="21">
        <v>10.7</v>
      </c>
      <c r="Q74" s="22">
        <v>2.8899999999999999E-2</v>
      </c>
      <c r="R74" s="17">
        <f t="shared" si="20"/>
        <v>11.009229999999999</v>
      </c>
      <c r="S74" s="17">
        <f t="shared" si="21"/>
        <v>132.11075999999997</v>
      </c>
    </row>
    <row r="75" spans="1:19" ht="12.75" x14ac:dyDescent="0.2">
      <c r="A75" s="18" t="s">
        <v>1</v>
      </c>
      <c r="B75" s="19">
        <v>10575</v>
      </c>
      <c r="C75" s="19">
        <v>0</v>
      </c>
      <c r="D75" s="19">
        <v>21150</v>
      </c>
      <c r="E75" s="19">
        <v>10575</v>
      </c>
      <c r="F75" s="19">
        <v>10575</v>
      </c>
      <c r="G75" s="19">
        <v>10575</v>
      </c>
      <c r="H75" s="19">
        <v>10575</v>
      </c>
      <c r="I75" s="19">
        <v>13000</v>
      </c>
      <c r="J75" s="19">
        <v>13000</v>
      </c>
      <c r="K75" s="19">
        <v>13000</v>
      </c>
      <c r="L75" s="19">
        <v>13000</v>
      </c>
      <c r="M75" s="19">
        <v>13000</v>
      </c>
      <c r="N75" s="20">
        <f t="shared" si="16"/>
        <v>139025</v>
      </c>
      <c r="O75" s="20">
        <f t="shared" si="17"/>
        <v>11585.416666666666</v>
      </c>
      <c r="P75" s="21">
        <v>400</v>
      </c>
      <c r="Q75" s="22">
        <v>2.8899999999999999E-2</v>
      </c>
      <c r="R75" s="17">
        <f t="shared" si="20"/>
        <v>411.56</v>
      </c>
      <c r="S75" s="17">
        <f t="shared" si="21"/>
        <v>4938.72</v>
      </c>
    </row>
    <row r="76" spans="1:19" ht="12.75" x14ac:dyDescent="0.2">
      <c r="A76" s="18" t="s">
        <v>89</v>
      </c>
      <c r="B76" s="19">
        <v>25800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f t="shared" si="16"/>
        <v>25800</v>
      </c>
      <c r="O76" s="20">
        <f t="shared" si="17"/>
        <v>2150</v>
      </c>
      <c r="P76" s="21">
        <v>2150</v>
      </c>
      <c r="Q76" s="22">
        <v>2.8899999999999999E-2</v>
      </c>
      <c r="R76" s="17">
        <f t="shared" si="19"/>
        <v>2212.1350000000002</v>
      </c>
      <c r="S76" s="17">
        <f t="shared" si="18"/>
        <v>26545.620000000003</v>
      </c>
    </row>
    <row r="77" spans="1:19" ht="12.75" x14ac:dyDescent="0.2">
      <c r="A77" s="18" t="s">
        <v>134</v>
      </c>
      <c r="B77" s="19">
        <v>0</v>
      </c>
      <c r="C77" s="19">
        <v>2100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20">
        <f t="shared" si="16"/>
        <v>2100</v>
      </c>
      <c r="O77" s="20">
        <f t="shared" si="17"/>
        <v>175</v>
      </c>
      <c r="P77" s="21">
        <v>175</v>
      </c>
      <c r="Q77" s="22">
        <v>2.8899999999999999E-2</v>
      </c>
      <c r="R77" s="17">
        <f t="shared" si="19"/>
        <v>180.0575</v>
      </c>
      <c r="S77" s="17">
        <f t="shared" si="18"/>
        <v>2160.69</v>
      </c>
    </row>
    <row r="78" spans="1:19" ht="12.75" x14ac:dyDescent="0.2">
      <c r="A78" s="18" t="s">
        <v>135</v>
      </c>
      <c r="B78" s="19">
        <v>0</v>
      </c>
      <c r="C78" s="19">
        <v>0</v>
      </c>
      <c r="D78" s="19">
        <v>666.66</v>
      </c>
      <c r="E78" s="19">
        <v>666.66</v>
      </c>
      <c r="F78" s="19">
        <v>666.68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f t="shared" si="16"/>
        <v>2000</v>
      </c>
      <c r="O78" s="20">
        <f t="shared" si="17"/>
        <v>166.66666666666666</v>
      </c>
      <c r="P78" s="21">
        <v>200</v>
      </c>
      <c r="Q78" s="22">
        <v>2.8899999999999999E-2</v>
      </c>
      <c r="R78" s="17">
        <f t="shared" si="19"/>
        <v>205.78</v>
      </c>
      <c r="S78" s="17">
        <f t="shared" si="18"/>
        <v>2469.36</v>
      </c>
    </row>
    <row r="79" spans="1:19" ht="12.75" x14ac:dyDescent="0.2">
      <c r="A79" s="18" t="s">
        <v>77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f>SUM(B79:M79)</f>
        <v>0</v>
      </c>
      <c r="O79" s="20">
        <f>N79/12</f>
        <v>0</v>
      </c>
      <c r="P79" s="21">
        <v>85.83</v>
      </c>
      <c r="Q79" s="22">
        <v>2.8899999999999999E-2</v>
      </c>
      <c r="R79" s="17">
        <f t="shared" si="19"/>
        <v>88.310486999999995</v>
      </c>
      <c r="S79" s="17">
        <f t="shared" si="18"/>
        <v>1059.7258440000001</v>
      </c>
    </row>
    <row r="80" spans="1:19" ht="12.75" x14ac:dyDescent="0.2">
      <c r="A80" s="49" t="s">
        <v>186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27"/>
      <c r="O80" s="27"/>
      <c r="P80" s="21">
        <f>(16840+12630)/12</f>
        <v>2455.8333333333335</v>
      </c>
      <c r="Q80" s="22">
        <v>0</v>
      </c>
      <c r="R80" s="17">
        <f t="shared" si="19"/>
        <v>2455.8333333333335</v>
      </c>
      <c r="S80" s="17">
        <f t="shared" si="18"/>
        <v>29470</v>
      </c>
    </row>
    <row r="81" spans="1:19" ht="12.75" x14ac:dyDescent="0.2">
      <c r="A81" s="49" t="s">
        <v>185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27">
        <v>0</v>
      </c>
      <c r="O81" s="27">
        <v>0</v>
      </c>
      <c r="P81" s="21">
        <f>80000/12</f>
        <v>6666.666666666667</v>
      </c>
      <c r="Q81" s="22">
        <v>0</v>
      </c>
      <c r="R81" s="17">
        <f t="shared" si="19"/>
        <v>6666.666666666667</v>
      </c>
      <c r="S81" s="17">
        <f t="shared" si="18"/>
        <v>80000</v>
      </c>
    </row>
    <row r="82" spans="1:19" ht="12.75" x14ac:dyDescent="0.2">
      <c r="A82" s="18" t="s">
        <v>106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943</v>
      </c>
      <c r="L82" s="19">
        <v>120</v>
      </c>
      <c r="M82" s="19">
        <v>0</v>
      </c>
      <c r="N82" s="20">
        <f t="shared" si="16"/>
        <v>1063</v>
      </c>
      <c r="O82" s="20">
        <f t="shared" si="17"/>
        <v>88.583333333333329</v>
      </c>
      <c r="P82" s="21">
        <v>88.58</v>
      </c>
      <c r="Q82" s="22">
        <v>2.8899999999999999E-2</v>
      </c>
      <c r="R82" s="17">
        <f t="shared" si="19"/>
        <v>91.139961999999997</v>
      </c>
      <c r="S82" s="17">
        <f t="shared" si="18"/>
        <v>1093.6795440000001</v>
      </c>
    </row>
    <row r="83" spans="1:19" x14ac:dyDescent="0.2">
      <c r="A83" s="23" t="s">
        <v>69</v>
      </c>
      <c r="B83" s="24">
        <f t="shared" ref="B83:N83" si="22">SUM(B65:B82)</f>
        <v>45323.01</v>
      </c>
      <c r="C83" s="24">
        <f t="shared" si="22"/>
        <v>6620</v>
      </c>
      <c r="D83" s="24">
        <f t="shared" si="22"/>
        <v>31298.5</v>
      </c>
      <c r="E83" s="24">
        <f t="shared" si="22"/>
        <v>24875.66</v>
      </c>
      <c r="F83" s="24">
        <f t="shared" si="22"/>
        <v>18041.849999999999</v>
      </c>
      <c r="G83" s="24">
        <f t="shared" si="22"/>
        <v>18091.88</v>
      </c>
      <c r="H83" s="24">
        <f t="shared" si="22"/>
        <v>17836.41</v>
      </c>
      <c r="I83" s="24">
        <f t="shared" si="22"/>
        <v>22440.61</v>
      </c>
      <c r="J83" s="24">
        <f t="shared" si="22"/>
        <v>18576</v>
      </c>
      <c r="K83" s="24">
        <f t="shared" si="22"/>
        <v>20395.55</v>
      </c>
      <c r="L83" s="24">
        <f t="shared" si="22"/>
        <v>19432</v>
      </c>
      <c r="M83" s="24">
        <f t="shared" si="22"/>
        <v>19789.61</v>
      </c>
      <c r="N83" s="26">
        <f t="shared" si="22"/>
        <v>262721.08</v>
      </c>
      <c r="O83" s="26">
        <f>N83/12</f>
        <v>21893.423333333336</v>
      </c>
      <c r="P83" s="26">
        <f>SUM(P65:P82)</f>
        <v>19966.890000000003</v>
      </c>
      <c r="Q83" s="8"/>
      <c r="R83" s="25">
        <f>SUM(R65:R82)</f>
        <v>21415.212790000001</v>
      </c>
      <c r="S83" s="25">
        <f>SUM(S65:S82)</f>
        <v>256982.55348000003</v>
      </c>
    </row>
    <row r="84" spans="1:19" x14ac:dyDescent="0.2">
      <c r="A84" s="14" t="s">
        <v>41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26"/>
      <c r="O84" s="26"/>
      <c r="P84" s="26"/>
      <c r="Q84" s="8"/>
      <c r="R84" s="17"/>
      <c r="S84" s="17"/>
    </row>
    <row r="85" spans="1:19" ht="12.75" x14ac:dyDescent="0.2">
      <c r="A85" s="18" t="s">
        <v>77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1030</v>
      </c>
      <c r="J85" s="19">
        <v>0</v>
      </c>
      <c r="K85" s="19">
        <v>0</v>
      </c>
      <c r="L85" s="19">
        <v>0</v>
      </c>
      <c r="M85" s="19">
        <v>0</v>
      </c>
      <c r="N85" s="20">
        <f>SUM(B85:M85)</f>
        <v>1030</v>
      </c>
      <c r="O85" s="20">
        <f>N85/12</f>
        <v>85.833333333333329</v>
      </c>
      <c r="P85" s="21">
        <v>0</v>
      </c>
      <c r="Q85" s="22">
        <v>2.8899999999999999E-2</v>
      </c>
      <c r="R85" s="17">
        <f>P85*Q85+P85</f>
        <v>0</v>
      </c>
      <c r="S85" s="17">
        <f>R85*12</f>
        <v>0</v>
      </c>
    </row>
    <row r="86" spans="1:19" x14ac:dyDescent="0.2">
      <c r="A86" s="23" t="s">
        <v>69</v>
      </c>
      <c r="B86" s="24">
        <f t="shared" ref="B86:M86" si="23">SUM(B85:B85)</f>
        <v>0</v>
      </c>
      <c r="C86" s="24">
        <f t="shared" si="23"/>
        <v>0</v>
      </c>
      <c r="D86" s="24">
        <f t="shared" si="23"/>
        <v>0</v>
      </c>
      <c r="E86" s="24">
        <f t="shared" si="23"/>
        <v>0</v>
      </c>
      <c r="F86" s="24">
        <f t="shared" si="23"/>
        <v>0</v>
      </c>
      <c r="G86" s="24">
        <f t="shared" si="23"/>
        <v>0</v>
      </c>
      <c r="H86" s="24">
        <f t="shared" si="23"/>
        <v>0</v>
      </c>
      <c r="I86" s="24">
        <f t="shared" si="23"/>
        <v>1030</v>
      </c>
      <c r="J86" s="24">
        <f t="shared" si="23"/>
        <v>0</v>
      </c>
      <c r="K86" s="24">
        <f t="shared" si="23"/>
        <v>0</v>
      </c>
      <c r="L86" s="24">
        <f t="shared" si="23"/>
        <v>0</v>
      </c>
      <c r="M86" s="24">
        <f t="shared" si="23"/>
        <v>0</v>
      </c>
      <c r="N86" s="24">
        <f>SUM(N85)</f>
        <v>1030</v>
      </c>
      <c r="O86" s="26">
        <f>N86/12</f>
        <v>85.833333333333329</v>
      </c>
      <c r="P86" s="26">
        <f>SUM(P85:P85)</f>
        <v>0</v>
      </c>
      <c r="Q86" s="8"/>
      <c r="R86" s="25">
        <f>SUM(R85:R85)</f>
        <v>0</v>
      </c>
      <c r="S86" s="25">
        <f>SUM(S85:S85)</f>
        <v>0</v>
      </c>
    </row>
    <row r="87" spans="1:19" x14ac:dyDescent="0.2">
      <c r="A87" s="14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26"/>
      <c r="O87" s="26"/>
      <c r="P87" s="26"/>
      <c r="Q87" s="8"/>
      <c r="R87" s="17"/>
      <c r="S87" s="17"/>
    </row>
    <row r="88" spans="1:19" ht="12.75" x14ac:dyDescent="0.2">
      <c r="A88" s="18" t="s">
        <v>43</v>
      </c>
      <c r="B88" s="19">
        <v>21433.21</v>
      </c>
      <c r="C88" s="19">
        <v>20916.18</v>
      </c>
      <c r="D88" s="19">
        <v>18803.14</v>
      </c>
      <c r="E88" s="19">
        <v>18661.07</v>
      </c>
      <c r="F88" s="19">
        <v>18136.04</v>
      </c>
      <c r="G88" s="19">
        <v>16923.599999999999</v>
      </c>
      <c r="H88" s="19">
        <v>18487.79</v>
      </c>
      <c r="I88" s="19">
        <v>18588.8</v>
      </c>
      <c r="J88" s="19">
        <v>18330.27</v>
      </c>
      <c r="K88" s="19">
        <v>18236.419999999998</v>
      </c>
      <c r="L88" s="19">
        <v>19066.47</v>
      </c>
      <c r="M88" s="19">
        <v>18271.009999999998</v>
      </c>
      <c r="N88" s="20">
        <f>SUM(B88:M88)</f>
        <v>225854.00000000003</v>
      </c>
      <c r="O88" s="20">
        <f>N88/12</f>
        <v>18821.166666666668</v>
      </c>
      <c r="P88" s="21">
        <v>18821.169999999998</v>
      </c>
      <c r="Q88" s="22">
        <v>2.8899999999999999E-2</v>
      </c>
      <c r="R88" s="17">
        <f>P88*Q88+P88</f>
        <v>19365.101812999997</v>
      </c>
      <c r="S88" s="17">
        <f>R88*12</f>
        <v>232381.22175599996</v>
      </c>
    </row>
    <row r="89" spans="1:19" ht="12.75" x14ac:dyDescent="0.2">
      <c r="A89" s="18" t="s">
        <v>44</v>
      </c>
      <c r="B89" s="19">
        <v>76.989999999999995</v>
      </c>
      <c r="C89" s="19">
        <v>88</v>
      </c>
      <c r="D89" s="19">
        <v>0</v>
      </c>
      <c r="E89" s="19">
        <v>79.989999999999995</v>
      </c>
      <c r="F89" s="19">
        <v>0</v>
      </c>
      <c r="G89" s="19">
        <v>0</v>
      </c>
      <c r="H89" s="19">
        <v>79.989999999999995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20">
        <f>SUM(B89:M89)</f>
        <v>324.97000000000003</v>
      </c>
      <c r="O89" s="20">
        <f>N89/12</f>
        <v>27.080833333333334</v>
      </c>
      <c r="P89" s="21">
        <f>(80*6)/12</f>
        <v>40</v>
      </c>
      <c r="Q89" s="22">
        <v>2.8899999999999999E-2</v>
      </c>
      <c r="R89" s="17">
        <f>P89*Q89+P89</f>
        <v>41.155999999999999</v>
      </c>
      <c r="S89" s="17">
        <f>R89*12</f>
        <v>493.87199999999996</v>
      </c>
    </row>
    <row r="90" spans="1:19" ht="12.75" x14ac:dyDescent="0.2">
      <c r="A90" s="18" t="s">
        <v>45</v>
      </c>
      <c r="B90" s="19">
        <v>3120.08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21248.51</v>
      </c>
      <c r="I90" s="19">
        <v>0</v>
      </c>
      <c r="J90" s="19">
        <v>0</v>
      </c>
      <c r="K90" s="19">
        <v>54408.93</v>
      </c>
      <c r="L90" s="19">
        <v>0</v>
      </c>
      <c r="M90" s="19">
        <v>0</v>
      </c>
      <c r="N90" s="20">
        <f>SUM(B90:M90)</f>
        <v>78777.51999999999</v>
      </c>
      <c r="O90" s="20">
        <f>N90/12</f>
        <v>6564.7933333333322</v>
      </c>
      <c r="P90" s="21">
        <f>22000/12</f>
        <v>1833.3333333333333</v>
      </c>
      <c r="Q90" s="22">
        <v>2.8899999999999999E-2</v>
      </c>
      <c r="R90" s="17">
        <f>P90*Q90+P90</f>
        <v>1886.3166666666666</v>
      </c>
      <c r="S90" s="17">
        <f>R90*12</f>
        <v>22635.8</v>
      </c>
    </row>
    <row r="91" spans="1:19" ht="12.75" x14ac:dyDescent="0.2">
      <c r="A91" s="18" t="s">
        <v>46</v>
      </c>
      <c r="B91" s="19">
        <v>2938.05</v>
      </c>
      <c r="C91" s="19">
        <v>2948.49</v>
      </c>
      <c r="D91" s="19">
        <v>2958.66</v>
      </c>
      <c r="E91" s="19">
        <v>2969.1</v>
      </c>
      <c r="F91" s="19">
        <v>2977.07</v>
      </c>
      <c r="G91" s="19">
        <v>2986.42</v>
      </c>
      <c r="H91" s="19">
        <v>2994.11</v>
      </c>
      <c r="I91" s="19">
        <v>3000.71</v>
      </c>
      <c r="J91" s="19">
        <v>3006.48</v>
      </c>
      <c r="K91" s="19">
        <v>3011.7</v>
      </c>
      <c r="L91" s="19">
        <v>3016.11</v>
      </c>
      <c r="M91" s="19">
        <v>3171.5</v>
      </c>
      <c r="N91" s="20">
        <f>SUM(B91:M91)</f>
        <v>35978.400000000001</v>
      </c>
      <c r="O91" s="20">
        <f>N91/12</f>
        <v>2998.2000000000003</v>
      </c>
      <c r="P91" s="21">
        <v>3100</v>
      </c>
      <c r="Q91" s="22">
        <v>2.8899999999999999E-2</v>
      </c>
      <c r="R91" s="17">
        <f>P91*Q91+P91</f>
        <v>3189.59</v>
      </c>
      <c r="S91" s="17">
        <f>R91*12</f>
        <v>38275.08</v>
      </c>
    </row>
    <row r="92" spans="1:19" x14ac:dyDescent="0.2">
      <c r="A92" s="23" t="s">
        <v>69</v>
      </c>
      <c r="B92" s="24">
        <f t="shared" ref="B92:N92" si="24">SUM(B88:B91)</f>
        <v>27568.329999999998</v>
      </c>
      <c r="C92" s="24">
        <f t="shared" si="24"/>
        <v>23952.67</v>
      </c>
      <c r="D92" s="24">
        <f t="shared" si="24"/>
        <v>21761.8</v>
      </c>
      <c r="E92" s="24">
        <f t="shared" si="24"/>
        <v>21710.16</v>
      </c>
      <c r="F92" s="24">
        <f t="shared" si="24"/>
        <v>21113.11</v>
      </c>
      <c r="G92" s="24">
        <f t="shared" si="24"/>
        <v>19910.019999999997</v>
      </c>
      <c r="H92" s="24">
        <f t="shared" si="24"/>
        <v>42810.400000000001</v>
      </c>
      <c r="I92" s="24">
        <f t="shared" si="24"/>
        <v>21589.51</v>
      </c>
      <c r="J92" s="24">
        <f t="shared" si="24"/>
        <v>21336.75</v>
      </c>
      <c r="K92" s="24">
        <f t="shared" si="24"/>
        <v>75657.05</v>
      </c>
      <c r="L92" s="24">
        <f t="shared" si="24"/>
        <v>22082.58</v>
      </c>
      <c r="M92" s="24">
        <f t="shared" si="24"/>
        <v>21442.51</v>
      </c>
      <c r="N92" s="26">
        <f t="shared" si="24"/>
        <v>340934.89</v>
      </c>
      <c r="O92" s="26">
        <f>N92/12</f>
        <v>28411.240833333333</v>
      </c>
      <c r="P92" s="26">
        <f>SUM(P88:P91)</f>
        <v>23794.50333333333</v>
      </c>
      <c r="Q92" s="8"/>
      <c r="R92" s="25">
        <f>SUM(R88:R91)</f>
        <v>24482.164479666662</v>
      </c>
      <c r="S92" s="25">
        <f>SUM(S88:S91)</f>
        <v>293785.97375599993</v>
      </c>
    </row>
    <row r="93" spans="1:19" x14ac:dyDescent="0.2">
      <c r="A93" s="14" t="s">
        <v>47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26"/>
      <c r="O93" s="26"/>
      <c r="P93" s="26"/>
      <c r="Q93" s="8"/>
      <c r="R93" s="17"/>
      <c r="S93" s="17"/>
    </row>
    <row r="94" spans="1:19" ht="12.75" x14ac:dyDescent="0.2">
      <c r="A94" s="18" t="s">
        <v>90</v>
      </c>
      <c r="B94" s="19">
        <v>109.99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299.99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20">
        <f t="shared" ref="N94:N99" si="25">SUM(B94:M94)</f>
        <v>409.98</v>
      </c>
      <c r="O94" s="20">
        <f t="shared" ref="O94:O100" si="26">N94/12</f>
        <v>34.164999999999999</v>
      </c>
      <c r="P94" s="21">
        <v>0</v>
      </c>
      <c r="Q94" s="22">
        <v>2.8899999999999999E-2</v>
      </c>
      <c r="R94" s="17">
        <f t="shared" ref="R94:R99" si="27">P94*Q94+P94</f>
        <v>0</v>
      </c>
      <c r="S94" s="17">
        <f t="shared" ref="S94:S99" si="28">R94*12</f>
        <v>0</v>
      </c>
    </row>
    <row r="95" spans="1:19" ht="12.75" x14ac:dyDescent="0.2">
      <c r="A95" s="18" t="s">
        <v>136</v>
      </c>
      <c r="B95" s="19">
        <v>0</v>
      </c>
      <c r="C95" s="19">
        <v>0</v>
      </c>
      <c r="D95" s="19">
        <v>4709.92</v>
      </c>
      <c r="E95" s="19">
        <v>0</v>
      </c>
      <c r="F95" s="19">
        <v>502.52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20">
        <f t="shared" si="25"/>
        <v>5212.4400000000005</v>
      </c>
      <c r="O95" s="20">
        <f t="shared" si="26"/>
        <v>434.37000000000006</v>
      </c>
      <c r="P95" s="21">
        <v>0</v>
      </c>
      <c r="Q95" s="22">
        <v>2.8899999999999999E-2</v>
      </c>
      <c r="R95" s="17">
        <f t="shared" si="27"/>
        <v>0</v>
      </c>
      <c r="S95" s="17">
        <f t="shared" si="28"/>
        <v>0</v>
      </c>
    </row>
    <row r="96" spans="1:19" ht="12.75" x14ac:dyDescent="0.2">
      <c r="A96" s="18" t="s">
        <v>91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2879</v>
      </c>
      <c r="K96" s="19">
        <v>0</v>
      </c>
      <c r="L96" s="19">
        <v>0</v>
      </c>
      <c r="M96" s="19">
        <v>0</v>
      </c>
      <c r="N96" s="20">
        <f t="shared" si="25"/>
        <v>2879</v>
      </c>
      <c r="O96" s="20">
        <f t="shared" si="26"/>
        <v>239.91666666666666</v>
      </c>
      <c r="P96" s="21">
        <v>0</v>
      </c>
      <c r="Q96" s="22">
        <v>2.8899999999999999E-2</v>
      </c>
      <c r="R96" s="17">
        <f t="shared" si="27"/>
        <v>0</v>
      </c>
      <c r="S96" s="17">
        <f t="shared" si="28"/>
        <v>0</v>
      </c>
    </row>
    <row r="97" spans="1:19" ht="12.75" x14ac:dyDescent="0.2">
      <c r="A97" s="18" t="s">
        <v>137</v>
      </c>
      <c r="B97" s="19">
        <v>650</v>
      </c>
      <c r="C97" s="19">
        <v>650</v>
      </c>
      <c r="D97" s="19">
        <v>650</v>
      </c>
      <c r="E97" s="19">
        <v>201.75</v>
      </c>
      <c r="F97" s="19">
        <v>0</v>
      </c>
      <c r="G97" s="19">
        <v>0</v>
      </c>
      <c r="H97" s="19">
        <v>0</v>
      </c>
      <c r="I97" s="19">
        <v>0</v>
      </c>
      <c r="J97" s="19">
        <v>1377</v>
      </c>
      <c r="K97" s="19">
        <v>0</v>
      </c>
      <c r="L97" s="19">
        <v>0</v>
      </c>
      <c r="M97" s="19">
        <v>0</v>
      </c>
      <c r="N97" s="20">
        <f t="shared" si="25"/>
        <v>3528.75</v>
      </c>
      <c r="O97" s="20">
        <f t="shared" si="26"/>
        <v>294.0625</v>
      </c>
      <c r="P97" s="21">
        <v>0</v>
      </c>
      <c r="Q97" s="22">
        <v>2.8899999999999999E-2</v>
      </c>
      <c r="R97" s="17">
        <f t="shared" si="27"/>
        <v>0</v>
      </c>
      <c r="S97" s="17">
        <f t="shared" si="28"/>
        <v>0</v>
      </c>
    </row>
    <row r="98" spans="1:19" ht="12.75" x14ac:dyDescent="0.2">
      <c r="A98" s="18" t="s">
        <v>138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1268</v>
      </c>
      <c r="K98" s="19">
        <v>0</v>
      </c>
      <c r="L98" s="19">
        <v>0</v>
      </c>
      <c r="M98" s="19">
        <v>0</v>
      </c>
      <c r="N98" s="20">
        <f t="shared" si="25"/>
        <v>1268</v>
      </c>
      <c r="O98" s="20">
        <f t="shared" si="26"/>
        <v>105.66666666666667</v>
      </c>
      <c r="P98" s="21">
        <v>0</v>
      </c>
      <c r="Q98" s="22">
        <v>2.8899999999999999E-2</v>
      </c>
      <c r="R98" s="17">
        <f t="shared" si="27"/>
        <v>0</v>
      </c>
      <c r="S98" s="17">
        <f t="shared" si="28"/>
        <v>0</v>
      </c>
    </row>
    <row r="99" spans="1:19" ht="12.75" x14ac:dyDescent="0.2">
      <c r="A99" s="18" t="s">
        <v>150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0">
        <f t="shared" si="25"/>
        <v>0</v>
      </c>
      <c r="O99" s="20">
        <f t="shared" si="26"/>
        <v>0</v>
      </c>
      <c r="P99" s="21">
        <v>1500</v>
      </c>
      <c r="Q99" s="22">
        <v>2.8899999999999999E-2</v>
      </c>
      <c r="R99" s="17">
        <f t="shared" si="27"/>
        <v>1543.35</v>
      </c>
      <c r="S99" s="17">
        <f t="shared" si="28"/>
        <v>18520.199999999997</v>
      </c>
    </row>
    <row r="100" spans="1:19" x14ac:dyDescent="0.2">
      <c r="A100" s="23" t="s">
        <v>69</v>
      </c>
      <c r="B100" s="24">
        <f t="shared" ref="B100:N100" si="29">SUM(B94:B98)</f>
        <v>759.99</v>
      </c>
      <c r="C100" s="24">
        <f t="shared" si="29"/>
        <v>650</v>
      </c>
      <c r="D100" s="24">
        <f t="shared" si="29"/>
        <v>5359.92</v>
      </c>
      <c r="E100" s="24">
        <f t="shared" si="29"/>
        <v>201.75</v>
      </c>
      <c r="F100" s="24">
        <f t="shared" si="29"/>
        <v>502.52</v>
      </c>
      <c r="G100" s="24">
        <f t="shared" si="29"/>
        <v>0</v>
      </c>
      <c r="H100" s="24">
        <f t="shared" si="29"/>
        <v>299.99</v>
      </c>
      <c r="I100" s="24">
        <f t="shared" si="29"/>
        <v>0</v>
      </c>
      <c r="J100" s="24">
        <f t="shared" si="29"/>
        <v>5524</v>
      </c>
      <c r="K100" s="24">
        <f t="shared" si="29"/>
        <v>0</v>
      </c>
      <c r="L100" s="24">
        <f t="shared" si="29"/>
        <v>0</v>
      </c>
      <c r="M100" s="24">
        <f t="shared" si="29"/>
        <v>0</v>
      </c>
      <c r="N100" s="26">
        <f t="shared" si="29"/>
        <v>13298.17</v>
      </c>
      <c r="O100" s="26">
        <f t="shared" si="26"/>
        <v>1108.1808333333333</v>
      </c>
      <c r="P100" s="26">
        <f>SUM(P94:P98)</f>
        <v>0</v>
      </c>
      <c r="Q100" s="8"/>
      <c r="R100" s="25">
        <f>SUM(R94:R99)</f>
        <v>1543.35</v>
      </c>
      <c r="S100" s="25">
        <f>SUM(S94:S99)</f>
        <v>18520.199999999997</v>
      </c>
    </row>
    <row r="101" spans="1:19" x14ac:dyDescent="0.2">
      <c r="A101" s="14" t="s">
        <v>48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26"/>
      <c r="O101" s="26"/>
      <c r="P101" s="26"/>
      <c r="Q101" s="8"/>
      <c r="R101" s="17"/>
      <c r="S101" s="17"/>
    </row>
    <row r="102" spans="1:19" ht="12.75" x14ac:dyDescent="0.2">
      <c r="A102" s="18" t="s">
        <v>152</v>
      </c>
      <c r="B102" s="19">
        <v>0</v>
      </c>
      <c r="C102" s="19">
        <v>0</v>
      </c>
      <c r="D102" s="19">
        <v>0</v>
      </c>
      <c r="E102" s="19">
        <v>550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20">
        <f t="shared" ref="N102:N107" si="30">SUM(B102:M102)</f>
        <v>550</v>
      </c>
      <c r="O102" s="20">
        <f t="shared" ref="O102:O108" si="31">N102/12</f>
        <v>45.833333333333336</v>
      </c>
      <c r="P102" s="21">
        <v>50</v>
      </c>
      <c r="Q102" s="22">
        <v>2.8899999999999999E-2</v>
      </c>
      <c r="R102" s="17">
        <f t="shared" ref="R102:R107" si="32">P102*Q102+P102</f>
        <v>51.445</v>
      </c>
      <c r="S102" s="17">
        <f t="shared" ref="S102:S107" si="33">R102*12</f>
        <v>617.34</v>
      </c>
    </row>
    <row r="103" spans="1:19" ht="12.75" x14ac:dyDescent="0.2">
      <c r="A103" s="18" t="s">
        <v>107</v>
      </c>
      <c r="B103" s="19">
        <v>0</v>
      </c>
      <c r="C103" s="19">
        <v>326.67</v>
      </c>
      <c r="D103" s="19">
        <v>376.67</v>
      </c>
      <c r="E103" s="19">
        <v>686.66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508.29</v>
      </c>
      <c r="N103" s="20">
        <f t="shared" si="30"/>
        <v>1898.29</v>
      </c>
      <c r="O103" s="20">
        <f t="shared" si="31"/>
        <v>158.19083333333333</v>
      </c>
      <c r="P103" s="21">
        <v>50</v>
      </c>
      <c r="Q103" s="22">
        <v>2.8899999999999999E-2</v>
      </c>
      <c r="R103" s="17">
        <f t="shared" si="32"/>
        <v>51.445</v>
      </c>
      <c r="S103" s="17">
        <f t="shared" si="33"/>
        <v>617.34</v>
      </c>
    </row>
    <row r="104" spans="1:19" ht="12.75" x14ac:dyDescent="0.2">
      <c r="A104" s="18" t="s">
        <v>153</v>
      </c>
      <c r="B104" s="19">
        <v>440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20">
        <f t="shared" si="30"/>
        <v>440</v>
      </c>
      <c r="O104" s="20">
        <f t="shared" si="31"/>
        <v>36.666666666666664</v>
      </c>
      <c r="P104" s="21">
        <v>500</v>
      </c>
      <c r="Q104" s="22">
        <v>2.8899999999999999E-2</v>
      </c>
      <c r="R104" s="17">
        <f t="shared" si="32"/>
        <v>514.45000000000005</v>
      </c>
      <c r="S104" s="17">
        <f t="shared" si="33"/>
        <v>6173.4000000000005</v>
      </c>
    </row>
    <row r="105" spans="1:19" ht="12.75" x14ac:dyDescent="0.2">
      <c r="A105" s="18" t="s">
        <v>139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186077.81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20">
        <f t="shared" si="30"/>
        <v>186077.81</v>
      </c>
      <c r="O105" s="20">
        <f t="shared" si="31"/>
        <v>15506.484166666667</v>
      </c>
      <c r="P105" s="21">
        <v>0</v>
      </c>
      <c r="Q105" s="22">
        <v>2.8899999999999999E-2</v>
      </c>
      <c r="R105" s="17">
        <f t="shared" si="32"/>
        <v>0</v>
      </c>
      <c r="S105" s="17">
        <f t="shared" si="33"/>
        <v>0</v>
      </c>
    </row>
    <row r="106" spans="1:19" ht="12.75" x14ac:dyDescent="0.2">
      <c r="A106" s="18" t="s">
        <v>140</v>
      </c>
      <c r="B106" s="19">
        <v>0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161142.45000000001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20">
        <f t="shared" si="30"/>
        <v>161142.45000000001</v>
      </c>
      <c r="O106" s="20">
        <f t="shared" si="31"/>
        <v>13428.5375</v>
      </c>
      <c r="P106" s="21">
        <v>0</v>
      </c>
      <c r="Q106" s="22">
        <v>2.8899999999999999E-2</v>
      </c>
      <c r="R106" s="17">
        <f t="shared" si="32"/>
        <v>0</v>
      </c>
      <c r="S106" s="17">
        <f t="shared" si="33"/>
        <v>0</v>
      </c>
    </row>
    <row r="107" spans="1:19" ht="12.75" x14ac:dyDescent="0.2">
      <c r="A107" s="18" t="s">
        <v>141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4000</v>
      </c>
      <c r="K107" s="19">
        <v>0</v>
      </c>
      <c r="L107" s="19">
        <v>0</v>
      </c>
      <c r="M107" s="19">
        <v>0</v>
      </c>
      <c r="N107" s="20">
        <f t="shared" si="30"/>
        <v>4000</v>
      </c>
      <c r="O107" s="20">
        <f t="shared" si="31"/>
        <v>333.33333333333331</v>
      </c>
      <c r="P107" s="21">
        <v>0</v>
      </c>
      <c r="Q107" s="22">
        <v>2.8899999999999999E-2</v>
      </c>
      <c r="R107" s="17">
        <f t="shared" si="32"/>
        <v>0</v>
      </c>
      <c r="S107" s="17">
        <f t="shared" si="33"/>
        <v>0</v>
      </c>
    </row>
    <row r="108" spans="1:19" x14ac:dyDescent="0.2">
      <c r="A108" s="23" t="s">
        <v>69</v>
      </c>
      <c r="B108" s="24">
        <f t="shared" ref="B108:N108" si="34">SUM(B102:B107)</f>
        <v>440</v>
      </c>
      <c r="C108" s="24">
        <f t="shared" si="34"/>
        <v>326.67</v>
      </c>
      <c r="D108" s="24">
        <f t="shared" si="34"/>
        <v>376.67</v>
      </c>
      <c r="E108" s="24">
        <f t="shared" si="34"/>
        <v>1236.6599999999999</v>
      </c>
      <c r="F108" s="24">
        <f t="shared" si="34"/>
        <v>0</v>
      </c>
      <c r="G108" s="24">
        <f t="shared" si="34"/>
        <v>0</v>
      </c>
      <c r="H108" s="24">
        <f t="shared" si="34"/>
        <v>347220.26</v>
      </c>
      <c r="I108" s="24">
        <f t="shared" si="34"/>
        <v>0</v>
      </c>
      <c r="J108" s="24">
        <f t="shared" si="34"/>
        <v>4000</v>
      </c>
      <c r="K108" s="24">
        <f t="shared" si="34"/>
        <v>0</v>
      </c>
      <c r="L108" s="24">
        <f t="shared" si="34"/>
        <v>0</v>
      </c>
      <c r="M108" s="24">
        <f t="shared" si="34"/>
        <v>508.29</v>
      </c>
      <c r="N108" s="26">
        <f t="shared" si="34"/>
        <v>354108.55000000005</v>
      </c>
      <c r="O108" s="26">
        <f t="shared" si="31"/>
        <v>29509.045833333337</v>
      </c>
      <c r="P108" s="26">
        <f>SUM(P102:P107)</f>
        <v>600</v>
      </c>
      <c r="Q108" s="8"/>
      <c r="R108" s="25">
        <f>SUM(R102:R107)</f>
        <v>617.34</v>
      </c>
      <c r="S108" s="25">
        <f>SUM(S102:S107)</f>
        <v>7408.0800000000008</v>
      </c>
    </row>
    <row r="109" spans="1:19" x14ac:dyDescent="0.2">
      <c r="A109" s="14" t="s">
        <v>79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26"/>
      <c r="O109" s="26"/>
      <c r="P109" s="26"/>
      <c r="Q109" s="8"/>
      <c r="R109" s="17"/>
      <c r="S109" s="17"/>
    </row>
    <row r="110" spans="1:19" ht="12.75" x14ac:dyDescent="0.2">
      <c r="A110" s="18" t="s">
        <v>154</v>
      </c>
      <c r="B110" s="19">
        <v>0</v>
      </c>
      <c r="C110" s="19">
        <v>0</v>
      </c>
      <c r="D110" s="19">
        <v>0</v>
      </c>
      <c r="E110" s="19">
        <v>0</v>
      </c>
      <c r="F110" s="19">
        <v>1242.5899999999999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1486</v>
      </c>
      <c r="N110" s="20">
        <f>SUM(B110:M110)</f>
        <v>2728.59</v>
      </c>
      <c r="O110" s="20">
        <f>N110/12</f>
        <v>227.38250000000002</v>
      </c>
      <c r="P110" s="21">
        <v>1750</v>
      </c>
      <c r="Q110" s="22">
        <v>2.8899999999999999E-2</v>
      </c>
      <c r="R110" s="17">
        <f>P110*Q110+P110</f>
        <v>1800.575</v>
      </c>
      <c r="S110" s="17">
        <f>R110*12</f>
        <v>21606.9</v>
      </c>
    </row>
    <row r="111" spans="1:19" ht="12.75" x14ac:dyDescent="0.2">
      <c r="A111" s="18" t="s">
        <v>92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76.8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299.98</v>
      </c>
      <c r="N111" s="20">
        <f>SUM(B111:M111)</f>
        <v>376.78000000000003</v>
      </c>
      <c r="O111" s="20">
        <f>N111/12</f>
        <v>31.398333333333337</v>
      </c>
      <c r="P111" s="21">
        <v>0</v>
      </c>
      <c r="Q111" s="22">
        <v>2.8899999999999999E-2</v>
      </c>
      <c r="R111" s="17">
        <f>P111*Q111+P111</f>
        <v>0</v>
      </c>
      <c r="S111" s="17">
        <f>R111*12</f>
        <v>0</v>
      </c>
    </row>
    <row r="112" spans="1:19" x14ac:dyDescent="0.2">
      <c r="A112" s="23" t="s">
        <v>69</v>
      </c>
      <c r="B112" s="24">
        <f t="shared" ref="B112:N112" si="35">SUM(B110:B111)</f>
        <v>0</v>
      </c>
      <c r="C112" s="24">
        <f t="shared" si="35"/>
        <v>0</v>
      </c>
      <c r="D112" s="24">
        <f t="shared" si="35"/>
        <v>0</v>
      </c>
      <c r="E112" s="24">
        <f t="shared" si="35"/>
        <v>0</v>
      </c>
      <c r="F112" s="24">
        <f t="shared" si="35"/>
        <v>1242.5899999999999</v>
      </c>
      <c r="G112" s="24">
        <f t="shared" si="35"/>
        <v>76.8</v>
      </c>
      <c r="H112" s="24">
        <f t="shared" si="35"/>
        <v>0</v>
      </c>
      <c r="I112" s="24">
        <f t="shared" si="35"/>
        <v>0</v>
      </c>
      <c r="J112" s="24">
        <f t="shared" si="35"/>
        <v>0</v>
      </c>
      <c r="K112" s="24">
        <f t="shared" si="35"/>
        <v>0</v>
      </c>
      <c r="L112" s="24">
        <f t="shared" si="35"/>
        <v>0</v>
      </c>
      <c r="M112" s="24">
        <f t="shared" si="35"/>
        <v>1785.98</v>
      </c>
      <c r="N112" s="26">
        <f t="shared" si="35"/>
        <v>3105.3700000000003</v>
      </c>
      <c r="O112" s="26">
        <f>N112/12</f>
        <v>258.78083333333336</v>
      </c>
      <c r="P112" s="26">
        <f>SUM(P110:P111)</f>
        <v>1750</v>
      </c>
      <c r="Q112" s="8"/>
      <c r="R112" s="25">
        <f>SUM(R110:R111)</f>
        <v>1800.575</v>
      </c>
      <c r="S112" s="25">
        <f>SUM(S110:S111)</f>
        <v>21606.9</v>
      </c>
    </row>
    <row r="113" spans="1:19" x14ac:dyDescent="0.2">
      <c r="A113" s="14" t="s">
        <v>49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26"/>
      <c r="O113" s="26"/>
      <c r="P113" s="26"/>
      <c r="Q113" s="8"/>
      <c r="R113" s="17"/>
      <c r="S113" s="17"/>
    </row>
    <row r="114" spans="1:19" ht="12.75" x14ac:dyDescent="0.2">
      <c r="A114" s="18" t="s">
        <v>50</v>
      </c>
      <c r="B114" s="19">
        <v>2592</v>
      </c>
      <c r="C114" s="19">
        <v>2592</v>
      </c>
      <c r="D114" s="19">
        <v>2592</v>
      </c>
      <c r="E114" s="19">
        <v>2592</v>
      </c>
      <c r="F114" s="19">
        <v>2592</v>
      </c>
      <c r="G114" s="19">
        <v>2592</v>
      </c>
      <c r="H114" s="19">
        <v>2592</v>
      </c>
      <c r="I114" s="19">
        <v>2783.8</v>
      </c>
      <c r="J114" s="19">
        <v>2783.8</v>
      </c>
      <c r="K114" s="19">
        <v>2783.8</v>
      </c>
      <c r="L114" s="19">
        <v>2783.8</v>
      </c>
      <c r="M114" s="19">
        <v>2783.8</v>
      </c>
      <c r="N114" s="20">
        <f t="shared" ref="N114:N121" si="36">SUM(B114:M114)</f>
        <v>32062.999999999996</v>
      </c>
      <c r="O114" s="20">
        <f>N114/12</f>
        <v>2671.9166666666665</v>
      </c>
      <c r="P114" s="21">
        <v>2783.8</v>
      </c>
      <c r="Q114" s="22">
        <v>0.1</v>
      </c>
      <c r="R114" s="17">
        <f t="shared" ref="R114:R121" si="37">P114*Q114+P114</f>
        <v>3062.1800000000003</v>
      </c>
      <c r="S114" s="17">
        <f t="shared" ref="S114:S121" si="38">R114*12</f>
        <v>36746.160000000003</v>
      </c>
    </row>
    <row r="115" spans="1:19" ht="12.75" x14ac:dyDescent="0.2">
      <c r="A115" s="18" t="s">
        <v>51</v>
      </c>
      <c r="B115" s="19">
        <v>10513.82</v>
      </c>
      <c r="C115" s="19">
        <v>9914.75</v>
      </c>
      <c r="D115" s="19">
        <v>7250.5</v>
      </c>
      <c r="E115" s="19">
        <v>8181.4</v>
      </c>
      <c r="F115" s="19">
        <v>6910.53</v>
      </c>
      <c r="G115" s="19">
        <v>6417.65</v>
      </c>
      <c r="H115" s="19">
        <v>7932.47</v>
      </c>
      <c r="I115" s="19">
        <v>8699.31</v>
      </c>
      <c r="J115" s="19">
        <v>8825.89</v>
      </c>
      <c r="K115" s="19">
        <v>9695.98</v>
      </c>
      <c r="L115" s="19">
        <v>11136.12</v>
      </c>
      <c r="M115" s="19">
        <v>11995.03</v>
      </c>
      <c r="N115" s="20">
        <f t="shared" si="36"/>
        <v>107473.45</v>
      </c>
      <c r="O115" s="20">
        <f t="shared" ref="O115:O121" si="39">N115/12</f>
        <v>8956.1208333333325</v>
      </c>
      <c r="P115" s="21">
        <v>10500</v>
      </c>
      <c r="Q115" s="22">
        <v>2.8899999999999999E-2</v>
      </c>
      <c r="R115" s="17">
        <f t="shared" si="37"/>
        <v>10803.45</v>
      </c>
      <c r="S115" s="17">
        <f t="shared" si="38"/>
        <v>129641.40000000001</v>
      </c>
    </row>
    <row r="116" spans="1:19" ht="12.75" x14ac:dyDescent="0.2">
      <c r="A116" s="18" t="s">
        <v>93</v>
      </c>
      <c r="B116" s="19">
        <v>0</v>
      </c>
      <c r="C116" s="19">
        <v>0</v>
      </c>
      <c r="D116" s="19">
        <v>0</v>
      </c>
      <c r="E116" s="19">
        <v>58</v>
      </c>
      <c r="F116" s="19">
        <v>600</v>
      </c>
      <c r="G116" s="19">
        <v>0</v>
      </c>
      <c r="H116" s="19">
        <v>0</v>
      </c>
      <c r="I116" s="19">
        <v>1400</v>
      </c>
      <c r="J116" s="19">
        <v>20694</v>
      </c>
      <c r="K116" s="19">
        <v>3435.82</v>
      </c>
      <c r="L116" s="19">
        <v>540</v>
      </c>
      <c r="M116" s="19">
        <v>3629.74</v>
      </c>
      <c r="N116" s="20">
        <f t="shared" si="36"/>
        <v>30357.559999999998</v>
      </c>
      <c r="O116" s="20">
        <f t="shared" si="39"/>
        <v>2529.7966666666666</v>
      </c>
      <c r="P116" s="21">
        <v>2529.8000000000002</v>
      </c>
      <c r="Q116" s="22">
        <v>2.8899999999999999E-2</v>
      </c>
      <c r="R116" s="17">
        <f t="shared" si="37"/>
        <v>2602.91122</v>
      </c>
      <c r="S116" s="17">
        <f t="shared" si="38"/>
        <v>31234.934639999999</v>
      </c>
    </row>
    <row r="117" spans="1:19" ht="12.75" x14ac:dyDescent="0.2">
      <c r="A117" s="18" t="s">
        <v>52</v>
      </c>
      <c r="B117" s="19">
        <v>0</v>
      </c>
      <c r="C117" s="19">
        <v>1100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20">
        <f t="shared" si="36"/>
        <v>1100</v>
      </c>
      <c r="O117" s="20">
        <f t="shared" si="39"/>
        <v>91.666666666666671</v>
      </c>
      <c r="P117" s="21">
        <v>91.67</v>
      </c>
      <c r="Q117" s="22">
        <v>2.8899999999999999E-2</v>
      </c>
      <c r="R117" s="17">
        <f t="shared" si="37"/>
        <v>94.319263000000007</v>
      </c>
      <c r="S117" s="17">
        <f t="shared" si="38"/>
        <v>1131.8311560000002</v>
      </c>
    </row>
    <row r="118" spans="1:19" ht="12.75" x14ac:dyDescent="0.2">
      <c r="A118" s="18" t="s">
        <v>53</v>
      </c>
      <c r="B118" s="19">
        <v>2600</v>
      </c>
      <c r="C118" s="19">
        <v>2600</v>
      </c>
      <c r="D118" s="19">
        <v>2600</v>
      </c>
      <c r="E118" s="19">
        <v>2600</v>
      </c>
      <c r="F118" s="19">
        <v>2600</v>
      </c>
      <c r="G118" s="19">
        <v>2600</v>
      </c>
      <c r="H118" s="19">
        <v>2600</v>
      </c>
      <c r="I118" s="19">
        <v>2600</v>
      </c>
      <c r="J118" s="19">
        <v>2600</v>
      </c>
      <c r="K118" s="19">
        <v>2600</v>
      </c>
      <c r="L118" s="19">
        <v>2835</v>
      </c>
      <c r="M118" s="19">
        <v>2600</v>
      </c>
      <c r="N118" s="20">
        <f t="shared" si="36"/>
        <v>31435</v>
      </c>
      <c r="O118" s="20">
        <f t="shared" si="39"/>
        <v>2619.5833333333335</v>
      </c>
      <c r="P118" s="21">
        <v>2600</v>
      </c>
      <c r="Q118" s="32">
        <v>2.8899999999999999E-2</v>
      </c>
      <c r="R118" s="17">
        <f t="shared" si="37"/>
        <v>2675.14</v>
      </c>
      <c r="S118" s="17">
        <f t="shared" si="38"/>
        <v>32101.68</v>
      </c>
    </row>
    <row r="119" spans="1:19" ht="12.75" x14ac:dyDescent="0.2">
      <c r="A119" s="18" t="s">
        <v>108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5734</v>
      </c>
      <c r="L119" s="19">
        <v>7387</v>
      </c>
      <c r="M119" s="19">
        <v>5733</v>
      </c>
      <c r="N119" s="20">
        <f t="shared" si="36"/>
        <v>18854</v>
      </c>
      <c r="O119" s="20">
        <f t="shared" si="39"/>
        <v>1571.1666666666667</v>
      </c>
      <c r="P119" s="21">
        <v>1571.17</v>
      </c>
      <c r="Q119" s="22">
        <v>2.8899999999999999E-2</v>
      </c>
      <c r="R119" s="17">
        <f t="shared" si="37"/>
        <v>1616.5768130000001</v>
      </c>
      <c r="S119" s="17">
        <f t="shared" si="38"/>
        <v>19398.921756000003</v>
      </c>
    </row>
    <row r="120" spans="1:19" ht="12.75" x14ac:dyDescent="0.2">
      <c r="A120" s="18" t="s">
        <v>94</v>
      </c>
      <c r="B120" s="19">
        <v>0</v>
      </c>
      <c r="C120" s="19">
        <v>0</v>
      </c>
      <c r="D120" s="19">
        <v>0</v>
      </c>
      <c r="E120" s="19">
        <v>699</v>
      </c>
      <c r="F120" s="19">
        <v>0</v>
      </c>
      <c r="G120" s="19">
        <v>0</v>
      </c>
      <c r="H120" s="19">
        <v>2180</v>
      </c>
      <c r="I120" s="19">
        <v>0</v>
      </c>
      <c r="J120" s="19">
        <v>0</v>
      </c>
      <c r="K120" s="19">
        <v>0</v>
      </c>
      <c r="L120" s="19">
        <v>0</v>
      </c>
      <c r="M120" s="19">
        <v>2300</v>
      </c>
      <c r="N120" s="20">
        <f t="shared" si="36"/>
        <v>5179</v>
      </c>
      <c r="O120" s="20">
        <f t="shared" si="39"/>
        <v>431.58333333333331</v>
      </c>
      <c r="P120" s="21">
        <v>431.58</v>
      </c>
      <c r="Q120" s="22">
        <v>2.8899999999999999E-2</v>
      </c>
      <c r="R120" s="17">
        <f t="shared" si="37"/>
        <v>444.052662</v>
      </c>
      <c r="S120" s="17">
        <f t="shared" si="38"/>
        <v>5328.6319439999997</v>
      </c>
    </row>
    <row r="121" spans="1:19" ht="12.75" x14ac:dyDescent="0.2">
      <c r="A121" s="18" t="s">
        <v>109</v>
      </c>
      <c r="B121" s="19">
        <v>25000</v>
      </c>
      <c r="C121" s="19">
        <v>40000</v>
      </c>
      <c r="D121" s="19">
        <v>0</v>
      </c>
      <c r="E121" s="19">
        <v>0</v>
      </c>
      <c r="F121" s="19">
        <v>25258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20">
        <f t="shared" si="36"/>
        <v>90258</v>
      </c>
      <c r="O121" s="20">
        <f t="shared" si="39"/>
        <v>7521.5</v>
      </c>
      <c r="P121" s="21">
        <v>0</v>
      </c>
      <c r="Q121" s="22">
        <v>2.8899999999999999E-2</v>
      </c>
      <c r="R121" s="17">
        <f t="shared" si="37"/>
        <v>0</v>
      </c>
      <c r="S121" s="17">
        <f t="shared" si="38"/>
        <v>0</v>
      </c>
    </row>
    <row r="122" spans="1:19" x14ac:dyDescent="0.2">
      <c r="A122" s="23" t="s">
        <v>69</v>
      </c>
      <c r="B122" s="24">
        <f t="shared" ref="B122:N122" si="40">SUM(B114:B121)</f>
        <v>40705.82</v>
      </c>
      <c r="C122" s="24">
        <f t="shared" si="40"/>
        <v>56206.75</v>
      </c>
      <c r="D122" s="24">
        <f t="shared" si="40"/>
        <v>12442.5</v>
      </c>
      <c r="E122" s="24">
        <f t="shared" si="40"/>
        <v>14130.4</v>
      </c>
      <c r="F122" s="24">
        <f t="shared" si="40"/>
        <v>37960.53</v>
      </c>
      <c r="G122" s="24">
        <f t="shared" si="40"/>
        <v>11609.65</v>
      </c>
      <c r="H122" s="24">
        <f t="shared" si="40"/>
        <v>15304.470000000001</v>
      </c>
      <c r="I122" s="24">
        <f t="shared" si="40"/>
        <v>15483.11</v>
      </c>
      <c r="J122" s="24">
        <f t="shared" si="40"/>
        <v>34903.69</v>
      </c>
      <c r="K122" s="24">
        <f t="shared" si="40"/>
        <v>24249.599999999999</v>
      </c>
      <c r="L122" s="24">
        <f t="shared" si="40"/>
        <v>24681.920000000002</v>
      </c>
      <c r="M122" s="24">
        <f t="shared" si="40"/>
        <v>29041.57</v>
      </c>
      <c r="N122" s="26">
        <f t="shared" si="40"/>
        <v>316720.01</v>
      </c>
      <c r="O122" s="26">
        <f>N122/12</f>
        <v>26393.334166666667</v>
      </c>
      <c r="P122" s="26">
        <f>SUM(P114:P121)</f>
        <v>20508.019999999997</v>
      </c>
      <c r="Q122" s="8"/>
      <c r="R122" s="25">
        <f>SUM(R114:R121)</f>
        <v>21298.629957999998</v>
      </c>
      <c r="S122" s="25">
        <f>SUM(S114:S121)</f>
        <v>255583.55949599997</v>
      </c>
    </row>
    <row r="123" spans="1:19" x14ac:dyDescent="0.2">
      <c r="A123" s="14" t="s">
        <v>95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6"/>
      <c r="O123" s="26"/>
      <c r="P123" s="26"/>
      <c r="Q123" s="8"/>
      <c r="R123" s="17"/>
      <c r="S123" s="17"/>
    </row>
    <row r="124" spans="1:19" ht="12.75" x14ac:dyDescent="0.2">
      <c r="A124" s="18" t="s">
        <v>142</v>
      </c>
      <c r="B124" s="19">
        <v>0</v>
      </c>
      <c r="C124" s="19">
        <v>0</v>
      </c>
      <c r="D124" s="19">
        <v>1950</v>
      </c>
      <c r="E124" s="19">
        <v>0</v>
      </c>
      <c r="F124" s="19">
        <v>0</v>
      </c>
      <c r="G124" s="19">
        <v>0</v>
      </c>
      <c r="H124" s="19">
        <v>1950</v>
      </c>
      <c r="I124" s="19">
        <v>8450</v>
      </c>
      <c r="J124" s="19">
        <v>3250</v>
      </c>
      <c r="K124" s="19">
        <v>3250</v>
      </c>
      <c r="L124" s="19">
        <v>0</v>
      </c>
      <c r="M124" s="19">
        <v>0</v>
      </c>
      <c r="N124" s="27">
        <f>SUM(B124:M124)</f>
        <v>18850</v>
      </c>
      <c r="O124" s="20">
        <f t="shared" ref="O124:O129" si="41">N124/12</f>
        <v>1570.8333333333333</v>
      </c>
      <c r="P124" s="21">
        <v>1570.83</v>
      </c>
      <c r="Q124" s="22">
        <v>2.8899999999999999E-2</v>
      </c>
      <c r="R124" s="17">
        <f>P124*Q124+P124</f>
        <v>1616.226987</v>
      </c>
      <c r="S124" s="17">
        <f>R124*12</f>
        <v>19394.723844</v>
      </c>
    </row>
    <row r="125" spans="1:19" ht="12.75" x14ac:dyDescent="0.2">
      <c r="A125" s="18" t="s">
        <v>54</v>
      </c>
      <c r="B125" s="19">
        <v>11991.26</v>
      </c>
      <c r="C125" s="19">
        <v>11091.26</v>
      </c>
      <c r="D125" s="19">
        <v>10715.26</v>
      </c>
      <c r="E125" s="19">
        <v>10711.7</v>
      </c>
      <c r="F125" s="19">
        <v>10740.38</v>
      </c>
      <c r="G125" s="19">
        <v>11448.37</v>
      </c>
      <c r="H125" s="19">
        <v>10717.05</v>
      </c>
      <c r="I125" s="19">
        <v>11366.97</v>
      </c>
      <c r="J125" s="19">
        <v>12016.67</v>
      </c>
      <c r="K125" s="19">
        <v>18866.97</v>
      </c>
      <c r="L125" s="19">
        <v>11366.97</v>
      </c>
      <c r="M125" s="19">
        <v>10716.97</v>
      </c>
      <c r="N125" s="27">
        <f>SUM(B125:M125)</f>
        <v>141749.82999999999</v>
      </c>
      <c r="O125" s="20">
        <f t="shared" si="41"/>
        <v>11812.485833333332</v>
      </c>
      <c r="P125" s="21">
        <v>11812.49</v>
      </c>
      <c r="Q125" s="22">
        <v>2.8899999999999999E-2</v>
      </c>
      <c r="R125" s="17">
        <f>P125*Q125+P125</f>
        <v>12153.870961000001</v>
      </c>
      <c r="S125" s="17">
        <f>R125*12</f>
        <v>145846.45153200001</v>
      </c>
    </row>
    <row r="126" spans="1:19" ht="12.75" x14ac:dyDescent="0.2">
      <c r="A126" s="18" t="s">
        <v>39</v>
      </c>
      <c r="B126" s="19">
        <v>2462</v>
      </c>
      <c r="C126" s="19">
        <v>0</v>
      </c>
      <c r="D126" s="19">
        <v>755.34</v>
      </c>
      <c r="E126" s="19">
        <v>0</v>
      </c>
      <c r="F126" s="19">
        <v>0</v>
      </c>
      <c r="G126" s="19">
        <v>0</v>
      </c>
      <c r="H126" s="19">
        <v>1573.73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27">
        <f>SUM(B126:M126)</f>
        <v>4791.07</v>
      </c>
      <c r="O126" s="20">
        <f t="shared" si="41"/>
        <v>399.25583333333333</v>
      </c>
      <c r="P126" s="21">
        <v>399.26</v>
      </c>
      <c r="Q126" s="22">
        <v>2.8899999999999999E-2</v>
      </c>
      <c r="R126" s="17">
        <f>P126*Q126+P126</f>
        <v>410.79861399999999</v>
      </c>
      <c r="S126" s="17">
        <f>R126*12</f>
        <v>4929.5833679999996</v>
      </c>
    </row>
    <row r="127" spans="1:19" ht="12.75" x14ac:dyDescent="0.2">
      <c r="A127" s="18" t="s">
        <v>96</v>
      </c>
      <c r="B127" s="19">
        <v>0</v>
      </c>
      <c r="C127" s="19">
        <v>2500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27">
        <f>SUM(B127:M127)</f>
        <v>2500</v>
      </c>
      <c r="O127" s="20">
        <f t="shared" si="41"/>
        <v>208.33333333333334</v>
      </c>
      <c r="P127" s="21">
        <v>208.33</v>
      </c>
      <c r="Q127" s="22">
        <v>2.8899999999999999E-2</v>
      </c>
      <c r="R127" s="17">
        <f>P127*Q127+P127</f>
        <v>214.35073700000001</v>
      </c>
      <c r="S127" s="17">
        <f>R127*12</f>
        <v>2572.2088440000002</v>
      </c>
    </row>
    <row r="128" spans="1:19" ht="12.75" x14ac:dyDescent="0.2">
      <c r="A128" s="18" t="s">
        <v>143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2875</v>
      </c>
      <c r="K128" s="19">
        <v>3605</v>
      </c>
      <c r="L128" s="19">
        <v>1264.3699999999999</v>
      </c>
      <c r="M128" s="19">
        <v>1123.42</v>
      </c>
      <c r="N128" s="27">
        <f>SUM(B128:M128)</f>
        <v>8867.7900000000009</v>
      </c>
      <c r="O128" s="20">
        <f t="shared" si="41"/>
        <v>738.98250000000007</v>
      </c>
      <c r="P128" s="21">
        <v>738.98</v>
      </c>
      <c r="Q128" s="22">
        <v>2.8899999999999999E-2</v>
      </c>
      <c r="R128" s="17">
        <f>P128*Q128+P128</f>
        <v>760.33652200000006</v>
      </c>
      <c r="S128" s="17">
        <f>R128*12</f>
        <v>9124.0382640000007</v>
      </c>
    </row>
    <row r="129" spans="1:19" x14ac:dyDescent="0.2">
      <c r="A129" s="23" t="s">
        <v>69</v>
      </c>
      <c r="B129" s="24">
        <f t="shared" ref="B129:N129" si="42">SUM(B124:B128)</f>
        <v>14453.26</v>
      </c>
      <c r="C129" s="24">
        <f t="shared" si="42"/>
        <v>13591.26</v>
      </c>
      <c r="D129" s="24">
        <f t="shared" si="42"/>
        <v>13420.6</v>
      </c>
      <c r="E129" s="24">
        <f t="shared" si="42"/>
        <v>10711.7</v>
      </c>
      <c r="F129" s="24">
        <f t="shared" si="42"/>
        <v>10740.38</v>
      </c>
      <c r="G129" s="24">
        <f t="shared" si="42"/>
        <v>11448.37</v>
      </c>
      <c r="H129" s="24">
        <f t="shared" si="42"/>
        <v>14240.779999999999</v>
      </c>
      <c r="I129" s="24">
        <f t="shared" si="42"/>
        <v>19816.97</v>
      </c>
      <c r="J129" s="24">
        <f t="shared" si="42"/>
        <v>18141.669999999998</v>
      </c>
      <c r="K129" s="24">
        <f t="shared" si="42"/>
        <v>25721.97</v>
      </c>
      <c r="L129" s="24">
        <f t="shared" si="42"/>
        <v>12631.34</v>
      </c>
      <c r="M129" s="24">
        <f t="shared" si="42"/>
        <v>11840.39</v>
      </c>
      <c r="N129" s="26">
        <f t="shared" si="42"/>
        <v>176758.69</v>
      </c>
      <c r="O129" s="26">
        <f t="shared" si="41"/>
        <v>14729.890833333333</v>
      </c>
      <c r="P129" s="26">
        <f>SUM(P124:P128)</f>
        <v>14729.89</v>
      </c>
      <c r="Q129" s="8"/>
      <c r="R129" s="25">
        <f>SUM(R124:R128)</f>
        <v>15155.583821</v>
      </c>
      <c r="S129" s="25">
        <f>SUM(S124:S128)</f>
        <v>181867.005852</v>
      </c>
    </row>
    <row r="130" spans="1:19" x14ac:dyDescent="0.2">
      <c r="A130" s="14" t="s">
        <v>97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6"/>
      <c r="O130" s="26"/>
      <c r="P130" s="26"/>
      <c r="Q130" s="8"/>
      <c r="R130" s="28"/>
      <c r="S130" s="28"/>
    </row>
    <row r="131" spans="1:19" ht="12.75" x14ac:dyDescent="0.2">
      <c r="A131" s="18" t="s">
        <v>55</v>
      </c>
      <c r="B131" s="19">
        <v>0</v>
      </c>
      <c r="C131" s="19">
        <v>0</v>
      </c>
      <c r="D131" s="19">
        <v>0</v>
      </c>
      <c r="E131" s="19">
        <v>1200</v>
      </c>
      <c r="F131" s="19">
        <v>0</v>
      </c>
      <c r="G131" s="19">
        <v>6150</v>
      </c>
      <c r="H131" s="19">
        <v>0</v>
      </c>
      <c r="I131" s="19">
        <v>6200</v>
      </c>
      <c r="J131" s="19">
        <v>1835.5</v>
      </c>
      <c r="K131" s="19">
        <v>0</v>
      </c>
      <c r="L131" s="19">
        <v>1777</v>
      </c>
      <c r="M131" s="19">
        <v>0</v>
      </c>
      <c r="N131" s="27">
        <f>SUM(B131:M131)</f>
        <v>17162.5</v>
      </c>
      <c r="O131" s="27">
        <f>N131/12</f>
        <v>1430.2083333333333</v>
      </c>
      <c r="P131" s="21">
        <v>1430.21</v>
      </c>
      <c r="Q131" s="22">
        <v>2.8899999999999999E-2</v>
      </c>
      <c r="R131" s="17">
        <f>P131*Q131+P131</f>
        <v>1471.5430690000001</v>
      </c>
      <c r="S131" s="17">
        <f>R131*12</f>
        <v>17658.516828</v>
      </c>
    </row>
    <row r="132" spans="1:19" ht="12.75" x14ac:dyDescent="0.2">
      <c r="A132" s="18" t="s">
        <v>39</v>
      </c>
      <c r="B132" s="19">
        <v>0</v>
      </c>
      <c r="C132" s="19">
        <v>0</v>
      </c>
      <c r="D132" s="19">
        <v>0</v>
      </c>
      <c r="E132" s="19">
        <v>1050</v>
      </c>
      <c r="F132" s="19">
        <v>2830.01</v>
      </c>
      <c r="G132" s="19">
        <v>1079.7</v>
      </c>
      <c r="H132" s="19">
        <v>1086.9000000000001</v>
      </c>
      <c r="I132" s="19">
        <v>0</v>
      </c>
      <c r="J132" s="19">
        <v>0</v>
      </c>
      <c r="K132" s="19">
        <v>342</v>
      </c>
      <c r="L132" s="19">
        <v>0</v>
      </c>
      <c r="M132" s="19">
        <v>0</v>
      </c>
      <c r="N132" s="27">
        <f>SUM(B132:M132)</f>
        <v>6388.6100000000006</v>
      </c>
      <c r="O132" s="27">
        <f>N132/12</f>
        <v>532.38416666666672</v>
      </c>
      <c r="P132" s="21">
        <v>532.38</v>
      </c>
      <c r="Q132" s="22">
        <v>2.8899999999999999E-2</v>
      </c>
      <c r="R132" s="17">
        <f>P132*Q132+P132</f>
        <v>547.76578199999994</v>
      </c>
      <c r="S132" s="17">
        <f>R132*12</f>
        <v>6573.1893839999993</v>
      </c>
    </row>
    <row r="133" spans="1:19" ht="12.75" x14ac:dyDescent="0.2">
      <c r="A133" s="18" t="s">
        <v>96</v>
      </c>
      <c r="B133" s="19">
        <v>0</v>
      </c>
      <c r="C133" s="19">
        <v>2500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27">
        <f>SUM(B133:M133)</f>
        <v>2500</v>
      </c>
      <c r="O133" s="27">
        <f>N133/12</f>
        <v>208.33333333333334</v>
      </c>
      <c r="P133" s="21">
        <v>208.33</v>
      </c>
      <c r="Q133" s="22">
        <v>2.8899999999999999E-2</v>
      </c>
      <c r="R133" s="17">
        <f>P133*Q133+P133</f>
        <v>214.35073700000001</v>
      </c>
      <c r="S133" s="17">
        <f>R133*12</f>
        <v>2572.2088440000002</v>
      </c>
    </row>
    <row r="134" spans="1:19" x14ac:dyDescent="0.2">
      <c r="A134" s="23" t="s">
        <v>69</v>
      </c>
      <c r="B134" s="24">
        <f t="shared" ref="B134:N134" si="43">SUM(B131:B133)</f>
        <v>0</v>
      </c>
      <c r="C134" s="24">
        <f t="shared" si="43"/>
        <v>2500</v>
      </c>
      <c r="D134" s="24">
        <f t="shared" si="43"/>
        <v>0</v>
      </c>
      <c r="E134" s="24">
        <f t="shared" si="43"/>
        <v>2250</v>
      </c>
      <c r="F134" s="24">
        <f t="shared" si="43"/>
        <v>2830.01</v>
      </c>
      <c r="G134" s="24">
        <f t="shared" si="43"/>
        <v>7229.7</v>
      </c>
      <c r="H134" s="24">
        <f t="shared" si="43"/>
        <v>1086.9000000000001</v>
      </c>
      <c r="I134" s="24">
        <f t="shared" si="43"/>
        <v>6200</v>
      </c>
      <c r="J134" s="24">
        <f t="shared" si="43"/>
        <v>1835.5</v>
      </c>
      <c r="K134" s="24">
        <f t="shared" si="43"/>
        <v>342</v>
      </c>
      <c r="L134" s="24">
        <f t="shared" si="43"/>
        <v>1777</v>
      </c>
      <c r="M134" s="24">
        <f t="shared" si="43"/>
        <v>0</v>
      </c>
      <c r="N134" s="24">
        <f t="shared" si="43"/>
        <v>26051.11</v>
      </c>
      <c r="O134" s="26">
        <f>N134/12</f>
        <v>2170.9258333333332</v>
      </c>
      <c r="P134" s="26">
        <f>P131</f>
        <v>1430.21</v>
      </c>
      <c r="Q134" s="8"/>
      <c r="R134" s="25">
        <f>SUM(R131)</f>
        <v>1471.5430690000001</v>
      </c>
      <c r="S134" s="25">
        <f>R134*12</f>
        <v>17658.516828</v>
      </c>
    </row>
    <row r="135" spans="1:19" x14ac:dyDescent="0.2">
      <c r="A135" s="14" t="s">
        <v>56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6"/>
      <c r="O135" s="26"/>
      <c r="P135" s="26"/>
      <c r="Q135" s="8"/>
      <c r="R135" s="17"/>
      <c r="S135" s="17"/>
    </row>
    <row r="136" spans="1:19" ht="12.75" x14ac:dyDescent="0.2">
      <c r="A136" s="18" t="s">
        <v>57</v>
      </c>
      <c r="B136" s="19">
        <v>764.34</v>
      </c>
      <c r="C136" s="19">
        <v>20.11</v>
      </c>
      <c r="D136" s="19">
        <v>1161.22</v>
      </c>
      <c r="E136" s="19">
        <v>4359.3999999999996</v>
      </c>
      <c r="F136" s="19">
        <v>3042.29</v>
      </c>
      <c r="G136" s="19">
        <v>3110.64</v>
      </c>
      <c r="H136" s="19">
        <v>1178.29</v>
      </c>
      <c r="I136" s="19">
        <v>1510.78</v>
      </c>
      <c r="J136" s="19">
        <v>2375.96</v>
      </c>
      <c r="K136" s="19">
        <v>2205.89</v>
      </c>
      <c r="L136" s="19">
        <v>1067.4100000000001</v>
      </c>
      <c r="M136" s="19">
        <v>825.23</v>
      </c>
      <c r="N136" s="20">
        <f>SUM(B136:M136)</f>
        <v>21621.56</v>
      </c>
      <c r="O136" s="20">
        <f>N136/12</f>
        <v>1801.7966666666669</v>
      </c>
      <c r="P136" s="21">
        <v>1801.8</v>
      </c>
      <c r="Q136" s="22">
        <v>2.8899999999999999E-2</v>
      </c>
      <c r="R136" s="17">
        <f>P136*Q136+P136</f>
        <v>1853.87202</v>
      </c>
      <c r="S136" s="17">
        <f>R136*12</f>
        <v>22246.464240000001</v>
      </c>
    </row>
    <row r="137" spans="1:19" x14ac:dyDescent="0.2">
      <c r="A137" s="23" t="s">
        <v>69</v>
      </c>
      <c r="B137" s="24">
        <f t="shared" ref="B137:M137" si="44">SUM(B136:B136)</f>
        <v>764.34</v>
      </c>
      <c r="C137" s="24">
        <f t="shared" si="44"/>
        <v>20.11</v>
      </c>
      <c r="D137" s="24">
        <f t="shared" si="44"/>
        <v>1161.22</v>
      </c>
      <c r="E137" s="24">
        <f t="shared" si="44"/>
        <v>4359.3999999999996</v>
      </c>
      <c r="F137" s="24">
        <f t="shared" si="44"/>
        <v>3042.29</v>
      </c>
      <c r="G137" s="24">
        <f t="shared" si="44"/>
        <v>3110.64</v>
      </c>
      <c r="H137" s="24">
        <f t="shared" si="44"/>
        <v>1178.29</v>
      </c>
      <c r="I137" s="24">
        <f t="shared" si="44"/>
        <v>1510.78</v>
      </c>
      <c r="J137" s="24">
        <f t="shared" si="44"/>
        <v>2375.96</v>
      </c>
      <c r="K137" s="24">
        <f t="shared" si="44"/>
        <v>2205.89</v>
      </c>
      <c r="L137" s="24">
        <f t="shared" si="44"/>
        <v>1067.4100000000001</v>
      </c>
      <c r="M137" s="24">
        <f t="shared" si="44"/>
        <v>825.23</v>
      </c>
      <c r="N137" s="26">
        <f>SUM(N136)</f>
        <v>21621.56</v>
      </c>
      <c r="O137" s="26">
        <f>N137/12</f>
        <v>1801.7966666666669</v>
      </c>
      <c r="P137" s="26">
        <f>SUM(P136:P136)</f>
        <v>1801.8</v>
      </c>
      <c r="Q137" s="8"/>
      <c r="R137" s="25">
        <f>SUM(R136:R136)</f>
        <v>1853.87202</v>
      </c>
      <c r="S137" s="25">
        <f>SUM(S136:S136)</f>
        <v>22246.464240000001</v>
      </c>
    </row>
    <row r="138" spans="1:19" x14ac:dyDescent="0.2">
      <c r="A138" s="14" t="s">
        <v>58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6"/>
      <c r="O138" s="26"/>
      <c r="P138" s="26"/>
      <c r="Q138" s="8"/>
      <c r="R138" s="17"/>
      <c r="S138" s="17"/>
    </row>
    <row r="139" spans="1:19" ht="12.75" x14ac:dyDescent="0.2">
      <c r="A139" s="18" t="s">
        <v>78</v>
      </c>
      <c r="B139" s="19">
        <v>369.86</v>
      </c>
      <c r="C139" s="19">
        <v>2668.44</v>
      </c>
      <c r="D139" s="19">
        <v>3391.54</v>
      </c>
      <c r="E139" s="19">
        <v>3543.16</v>
      </c>
      <c r="F139" s="19">
        <v>3015.41</v>
      </c>
      <c r="G139" s="19">
        <v>3015.41</v>
      </c>
      <c r="H139" s="19">
        <v>3015.54</v>
      </c>
      <c r="I139" s="19">
        <v>716.88</v>
      </c>
      <c r="J139" s="19">
        <v>0</v>
      </c>
      <c r="K139" s="19">
        <v>0</v>
      </c>
      <c r="L139" s="19">
        <v>0</v>
      </c>
      <c r="M139" s="19">
        <v>0</v>
      </c>
      <c r="N139" s="20">
        <f t="shared" ref="N139:N144" si="45">SUM(B139:M139)</f>
        <v>19736.240000000002</v>
      </c>
      <c r="O139" s="20">
        <f t="shared" ref="O139:O145" si="46">N139/12</f>
        <v>1644.6866666666667</v>
      </c>
      <c r="P139" s="21">
        <v>1644.69</v>
      </c>
      <c r="Q139" s="22">
        <v>2.8899999999999999E-2</v>
      </c>
      <c r="R139" s="17">
        <f t="shared" ref="R139:R144" si="47">P139*Q139+P139</f>
        <v>1692.2215410000001</v>
      </c>
      <c r="S139" s="17">
        <f t="shared" ref="S139:S144" si="48">R139*12</f>
        <v>20306.658492000002</v>
      </c>
    </row>
    <row r="140" spans="1:19" ht="12.75" x14ac:dyDescent="0.2">
      <c r="A140" s="18" t="s">
        <v>28</v>
      </c>
      <c r="B140" s="19">
        <v>4718.6099999999997</v>
      </c>
      <c r="C140" s="19">
        <v>4591.01</v>
      </c>
      <c r="D140" s="19">
        <v>2642.75</v>
      </c>
      <c r="E140" s="19">
        <v>3586.1</v>
      </c>
      <c r="F140" s="19">
        <v>4461.66</v>
      </c>
      <c r="G140" s="19">
        <v>2860.84</v>
      </c>
      <c r="H140" s="19">
        <v>2939.75</v>
      </c>
      <c r="I140" s="19">
        <v>3312.85</v>
      </c>
      <c r="J140" s="19">
        <v>2752.02</v>
      </c>
      <c r="K140" s="19">
        <v>5591.11</v>
      </c>
      <c r="L140" s="19">
        <v>3884.57</v>
      </c>
      <c r="M140" s="19">
        <v>3817.16</v>
      </c>
      <c r="N140" s="20">
        <f t="shared" si="45"/>
        <v>45158.429999999993</v>
      </c>
      <c r="O140" s="20">
        <f t="shared" si="46"/>
        <v>3763.2024999999994</v>
      </c>
      <c r="P140" s="21">
        <v>3763.2</v>
      </c>
      <c r="Q140" s="22">
        <v>2.8899999999999999E-2</v>
      </c>
      <c r="R140" s="17">
        <f t="shared" si="47"/>
        <v>3871.9564799999998</v>
      </c>
      <c r="S140" s="17">
        <f t="shared" si="48"/>
        <v>46463.477759999994</v>
      </c>
    </row>
    <row r="141" spans="1:19" ht="12.75" x14ac:dyDescent="0.2">
      <c r="A141" s="18" t="s">
        <v>59</v>
      </c>
      <c r="B141" s="19">
        <v>3302</v>
      </c>
      <c r="C141" s="19">
        <v>370.83</v>
      </c>
      <c r="D141" s="19">
        <v>2146</v>
      </c>
      <c r="E141" s="19">
        <v>0</v>
      </c>
      <c r="F141" s="19">
        <v>0</v>
      </c>
      <c r="G141" s="19">
        <v>390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1301.1600000000001</v>
      </c>
      <c r="N141" s="20">
        <f t="shared" si="45"/>
        <v>7509.99</v>
      </c>
      <c r="O141" s="20">
        <f t="shared" si="46"/>
        <v>625.83249999999998</v>
      </c>
      <c r="P141" s="21">
        <v>625.83000000000004</v>
      </c>
      <c r="Q141" s="22">
        <v>2.8899999999999999E-2</v>
      </c>
      <c r="R141" s="17">
        <f t="shared" si="47"/>
        <v>643.91648700000007</v>
      </c>
      <c r="S141" s="17">
        <f t="shared" si="48"/>
        <v>7726.9978440000014</v>
      </c>
    </row>
    <row r="142" spans="1:19" ht="12.75" x14ac:dyDescent="0.2">
      <c r="A142" s="18" t="s">
        <v>60</v>
      </c>
      <c r="B142" s="19">
        <v>3750</v>
      </c>
      <c r="C142" s="19">
        <v>3750</v>
      </c>
      <c r="D142" s="19">
        <v>3750</v>
      </c>
      <c r="E142" s="19">
        <v>3750</v>
      </c>
      <c r="F142" s="19">
        <v>3750</v>
      </c>
      <c r="G142" s="19">
        <v>3750</v>
      </c>
      <c r="H142" s="19">
        <v>3750</v>
      </c>
      <c r="I142" s="19">
        <v>3750</v>
      </c>
      <c r="J142" s="19">
        <v>3750</v>
      </c>
      <c r="K142" s="19">
        <v>3750</v>
      </c>
      <c r="L142" s="19">
        <v>4899.05</v>
      </c>
      <c r="M142" s="19">
        <v>4654.0200000000004</v>
      </c>
      <c r="N142" s="20">
        <f t="shared" si="45"/>
        <v>47053.070000000007</v>
      </c>
      <c r="O142" s="20">
        <f t="shared" si="46"/>
        <v>3921.0891666666671</v>
      </c>
      <c r="P142" s="21">
        <v>2500</v>
      </c>
      <c r="Q142" s="22">
        <v>2.8899999999999999E-2</v>
      </c>
      <c r="R142" s="17">
        <f t="shared" si="47"/>
        <v>2572.25</v>
      </c>
      <c r="S142" s="17">
        <f t="shared" si="48"/>
        <v>30867</v>
      </c>
    </row>
    <row r="143" spans="1:19" ht="12.75" x14ac:dyDescent="0.2">
      <c r="A143" s="18" t="s">
        <v>98</v>
      </c>
      <c r="B143" s="19">
        <v>0</v>
      </c>
      <c r="C143" s="19">
        <v>0</v>
      </c>
      <c r="D143" s="19">
        <v>689.24</v>
      </c>
      <c r="E143" s="19">
        <v>4693.8900000000003</v>
      </c>
      <c r="F143" s="19">
        <v>2214.1999999999998</v>
      </c>
      <c r="G143" s="19">
        <v>2214.21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769.63</v>
      </c>
      <c r="N143" s="20">
        <f t="shared" si="45"/>
        <v>10581.17</v>
      </c>
      <c r="O143" s="20">
        <f t="shared" si="46"/>
        <v>881.76416666666671</v>
      </c>
      <c r="P143" s="21">
        <v>881.76</v>
      </c>
      <c r="Q143" s="22">
        <v>2.8899999999999999E-2</v>
      </c>
      <c r="R143" s="17">
        <f t="shared" si="47"/>
        <v>907.24286399999994</v>
      </c>
      <c r="S143" s="17">
        <f t="shared" si="48"/>
        <v>10886.914368</v>
      </c>
    </row>
    <row r="144" spans="1:19" ht="12.75" x14ac:dyDescent="0.2">
      <c r="A144" s="18" t="s">
        <v>144</v>
      </c>
      <c r="B144" s="19">
        <v>0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87000</v>
      </c>
      <c r="L144" s="19">
        <v>29000</v>
      </c>
      <c r="M144" s="19">
        <v>0</v>
      </c>
      <c r="N144" s="20">
        <f t="shared" si="45"/>
        <v>116000</v>
      </c>
      <c r="O144" s="20">
        <f t="shared" si="46"/>
        <v>9666.6666666666661</v>
      </c>
      <c r="P144" s="21">
        <v>0</v>
      </c>
      <c r="Q144" s="22">
        <v>2.8899999999999999E-2</v>
      </c>
      <c r="R144" s="17">
        <f t="shared" si="47"/>
        <v>0</v>
      </c>
      <c r="S144" s="17">
        <f t="shared" si="48"/>
        <v>0</v>
      </c>
    </row>
    <row r="145" spans="1:19" x14ac:dyDescent="0.2">
      <c r="A145" s="23" t="s">
        <v>69</v>
      </c>
      <c r="B145" s="24">
        <f>SUM(B139:B144)</f>
        <v>12140.47</v>
      </c>
      <c r="C145" s="24">
        <f t="shared" ref="C145:M145" si="49">SUM(C139:C144)</f>
        <v>11380.28</v>
      </c>
      <c r="D145" s="24">
        <f t="shared" si="49"/>
        <v>12619.53</v>
      </c>
      <c r="E145" s="24">
        <f t="shared" si="49"/>
        <v>15573.150000000001</v>
      </c>
      <c r="F145" s="24">
        <f t="shared" si="49"/>
        <v>13441.27</v>
      </c>
      <c r="G145" s="24">
        <f t="shared" si="49"/>
        <v>12230.46</v>
      </c>
      <c r="H145" s="24">
        <f t="shared" si="49"/>
        <v>9705.2900000000009</v>
      </c>
      <c r="I145" s="24">
        <f t="shared" si="49"/>
        <v>7779.73</v>
      </c>
      <c r="J145" s="24">
        <f t="shared" si="49"/>
        <v>6502.02</v>
      </c>
      <c r="K145" s="24">
        <f t="shared" si="49"/>
        <v>96341.11</v>
      </c>
      <c r="L145" s="24">
        <f t="shared" si="49"/>
        <v>37783.620000000003</v>
      </c>
      <c r="M145" s="24">
        <f t="shared" si="49"/>
        <v>10541.97</v>
      </c>
      <c r="N145" s="26">
        <f>SUM(N139:N144)</f>
        <v>246038.90000000002</v>
      </c>
      <c r="O145" s="26">
        <f t="shared" si="46"/>
        <v>20503.241666666669</v>
      </c>
      <c r="P145" s="26">
        <f>SUM(P139:P144)</f>
        <v>9415.48</v>
      </c>
      <c r="Q145" s="8"/>
      <c r="R145" s="25">
        <f>SUM(R139:R144)</f>
        <v>9687.587372</v>
      </c>
      <c r="S145" s="25">
        <f>SUM(S139:S144)</f>
        <v>116251.04846399999</v>
      </c>
    </row>
    <row r="146" spans="1:19" x14ac:dyDescent="0.2">
      <c r="A146" s="14" t="s">
        <v>61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6"/>
      <c r="O146" s="26"/>
      <c r="P146" s="26"/>
      <c r="Q146" s="8"/>
      <c r="R146" s="17"/>
      <c r="S146" s="17"/>
    </row>
    <row r="147" spans="1:19" ht="12.75" x14ac:dyDescent="0.2">
      <c r="A147" s="18" t="s">
        <v>110</v>
      </c>
      <c r="B147" s="19">
        <v>0</v>
      </c>
      <c r="C147" s="19">
        <v>2479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20">
        <f>SUM(B147:M147)</f>
        <v>2479</v>
      </c>
      <c r="O147" s="20">
        <f>N147/12</f>
        <v>206.58333333333334</v>
      </c>
      <c r="P147" s="21">
        <v>200</v>
      </c>
      <c r="Q147" s="22">
        <v>2.8899999999999999E-2</v>
      </c>
      <c r="R147" s="17">
        <f>P147*Q147+P147</f>
        <v>205.78</v>
      </c>
      <c r="S147" s="17">
        <f>R147*12</f>
        <v>2469.36</v>
      </c>
    </row>
    <row r="148" spans="1:19" x14ac:dyDescent="0.2">
      <c r="A148" s="23" t="s">
        <v>69</v>
      </c>
      <c r="B148" s="24">
        <f t="shared" ref="B148:M148" si="50">SUM(B147:B147)</f>
        <v>0</v>
      </c>
      <c r="C148" s="24">
        <f t="shared" si="50"/>
        <v>2479</v>
      </c>
      <c r="D148" s="24">
        <f t="shared" si="50"/>
        <v>0</v>
      </c>
      <c r="E148" s="24">
        <f t="shared" si="50"/>
        <v>0</v>
      </c>
      <c r="F148" s="24">
        <f t="shared" si="50"/>
        <v>0</v>
      </c>
      <c r="G148" s="24">
        <f t="shared" si="50"/>
        <v>0</v>
      </c>
      <c r="H148" s="24">
        <f t="shared" si="50"/>
        <v>0</v>
      </c>
      <c r="I148" s="24">
        <f t="shared" si="50"/>
        <v>0</v>
      </c>
      <c r="J148" s="24">
        <f t="shared" si="50"/>
        <v>0</v>
      </c>
      <c r="K148" s="24">
        <f t="shared" si="50"/>
        <v>0</v>
      </c>
      <c r="L148" s="24">
        <f t="shared" si="50"/>
        <v>0</v>
      </c>
      <c r="M148" s="24">
        <f t="shared" si="50"/>
        <v>0</v>
      </c>
      <c r="N148" s="26">
        <f>SUM(N147)</f>
        <v>2479</v>
      </c>
      <c r="O148" s="26">
        <f>N148/12</f>
        <v>206.58333333333334</v>
      </c>
      <c r="P148" s="26">
        <f>SUM(P147:P147)</f>
        <v>200</v>
      </c>
      <c r="Q148" s="8"/>
      <c r="R148" s="25">
        <f>SUM(R147:R147)</f>
        <v>205.78</v>
      </c>
      <c r="S148" s="25">
        <f>SUM(S147:S147)</f>
        <v>2469.36</v>
      </c>
    </row>
    <row r="149" spans="1:19" x14ac:dyDescent="0.2">
      <c r="A149" s="14" t="s">
        <v>145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6"/>
      <c r="O149" s="26"/>
      <c r="P149" s="26"/>
      <c r="Q149" s="8"/>
      <c r="R149" s="17"/>
      <c r="S149" s="17"/>
    </row>
    <row r="150" spans="1:19" ht="12.75" x14ac:dyDescent="0.2">
      <c r="A150" s="18" t="s">
        <v>146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2500</v>
      </c>
      <c r="N150" s="20">
        <f>SUM(B150:M150)</f>
        <v>2500</v>
      </c>
      <c r="O150" s="20">
        <f>N150/12</f>
        <v>208.33333333333334</v>
      </c>
      <c r="P150" s="21">
        <v>500</v>
      </c>
      <c r="Q150" s="22">
        <v>2.8899999999999999E-2</v>
      </c>
      <c r="R150" s="17">
        <f>P150*Q150+P150</f>
        <v>514.45000000000005</v>
      </c>
      <c r="S150" s="17">
        <f>R150*12</f>
        <v>6173.4000000000005</v>
      </c>
    </row>
    <row r="151" spans="1:19" x14ac:dyDescent="0.2">
      <c r="A151" s="23" t="s">
        <v>69</v>
      </c>
      <c r="B151" s="24">
        <f t="shared" ref="B151:M151" si="51">SUM(B150:B150)</f>
        <v>0</v>
      </c>
      <c r="C151" s="24">
        <f t="shared" si="51"/>
        <v>0</v>
      </c>
      <c r="D151" s="24">
        <f t="shared" si="51"/>
        <v>0</v>
      </c>
      <c r="E151" s="24">
        <f t="shared" si="51"/>
        <v>0</v>
      </c>
      <c r="F151" s="24">
        <f t="shared" si="51"/>
        <v>0</v>
      </c>
      <c r="G151" s="24">
        <f t="shared" si="51"/>
        <v>0</v>
      </c>
      <c r="H151" s="24">
        <f t="shared" si="51"/>
        <v>0</v>
      </c>
      <c r="I151" s="24">
        <f t="shared" si="51"/>
        <v>0</v>
      </c>
      <c r="J151" s="24">
        <f t="shared" si="51"/>
        <v>0</v>
      </c>
      <c r="K151" s="24">
        <f t="shared" si="51"/>
        <v>0</v>
      </c>
      <c r="L151" s="24">
        <f t="shared" si="51"/>
        <v>0</v>
      </c>
      <c r="M151" s="24">
        <f t="shared" si="51"/>
        <v>2500</v>
      </c>
      <c r="N151" s="26">
        <f>SUM(B151:M151)</f>
        <v>2500</v>
      </c>
      <c r="O151" s="26">
        <f>N151/12</f>
        <v>208.33333333333334</v>
      </c>
      <c r="P151" s="26">
        <f>SUM(P150)</f>
        <v>500</v>
      </c>
      <c r="Q151" s="8"/>
      <c r="R151" s="25">
        <f>SUM(R150)</f>
        <v>514.45000000000005</v>
      </c>
      <c r="S151" s="25">
        <f>SUM(S150)</f>
        <v>6173.4000000000005</v>
      </c>
    </row>
    <row r="152" spans="1:19" x14ac:dyDescent="0.2">
      <c r="A152" s="14" t="s">
        <v>158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6"/>
      <c r="O152" s="26"/>
      <c r="P152" s="26"/>
      <c r="Q152" s="9"/>
      <c r="R152" s="17"/>
      <c r="S152" s="17"/>
    </row>
    <row r="153" spans="1:19" ht="12.75" x14ac:dyDescent="0.2">
      <c r="A153" s="18" t="s">
        <v>159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20">
        <f>SUM(B153:M153)</f>
        <v>0</v>
      </c>
      <c r="O153" s="20">
        <f>N153/12</f>
        <v>0</v>
      </c>
      <c r="P153" s="21">
        <f>50000/12</f>
        <v>4166.666666666667</v>
      </c>
      <c r="Q153" s="22">
        <v>0</v>
      </c>
      <c r="R153" s="17">
        <f>P153*Q153+P153</f>
        <v>4166.666666666667</v>
      </c>
      <c r="S153" s="17">
        <f>R153*12</f>
        <v>50000</v>
      </c>
    </row>
    <row r="154" spans="1:19" x14ac:dyDescent="0.2">
      <c r="A154" s="23" t="s">
        <v>69</v>
      </c>
      <c r="B154" s="24">
        <f t="shared" ref="B154:M154" si="52">SUM(B153:B153)</f>
        <v>0</v>
      </c>
      <c r="C154" s="24">
        <f t="shared" si="52"/>
        <v>0</v>
      </c>
      <c r="D154" s="24">
        <f t="shared" si="52"/>
        <v>0</v>
      </c>
      <c r="E154" s="24">
        <f t="shared" si="52"/>
        <v>0</v>
      </c>
      <c r="F154" s="24">
        <f t="shared" si="52"/>
        <v>0</v>
      </c>
      <c r="G154" s="24">
        <f t="shared" si="52"/>
        <v>0</v>
      </c>
      <c r="H154" s="24">
        <f t="shared" si="52"/>
        <v>0</v>
      </c>
      <c r="I154" s="24">
        <f t="shared" si="52"/>
        <v>0</v>
      </c>
      <c r="J154" s="24">
        <f t="shared" si="52"/>
        <v>0</v>
      </c>
      <c r="K154" s="24">
        <f t="shared" si="52"/>
        <v>0</v>
      </c>
      <c r="L154" s="24">
        <f t="shared" si="52"/>
        <v>0</v>
      </c>
      <c r="M154" s="24">
        <f t="shared" si="52"/>
        <v>0</v>
      </c>
      <c r="N154" s="26">
        <f>SUM(B154:M154)</f>
        <v>0</v>
      </c>
      <c r="O154" s="26">
        <f>N154/12</f>
        <v>0</v>
      </c>
      <c r="P154" s="26">
        <f>SUM(P153)</f>
        <v>4166.666666666667</v>
      </c>
      <c r="Q154" s="9"/>
      <c r="R154" s="25">
        <f>SUM(R153)</f>
        <v>4166.666666666667</v>
      </c>
      <c r="S154" s="25">
        <f>SUM(S153)</f>
        <v>50000</v>
      </c>
    </row>
    <row r="155" spans="1:19" x14ac:dyDescent="0.2">
      <c r="A155" s="14" t="s">
        <v>62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6"/>
      <c r="O155" s="26"/>
      <c r="P155" s="26"/>
      <c r="Q155" s="8"/>
      <c r="R155" s="17"/>
      <c r="S155" s="17"/>
    </row>
    <row r="156" spans="1:19" ht="12.75" x14ac:dyDescent="0.2">
      <c r="A156" s="18" t="s">
        <v>63</v>
      </c>
      <c r="B156" s="19">
        <v>730.51</v>
      </c>
      <c r="C156" s="19">
        <v>751.74</v>
      </c>
      <c r="D156" s="19">
        <v>572.79999999999995</v>
      </c>
      <c r="E156" s="19">
        <v>542.58000000000004</v>
      </c>
      <c r="F156" s="19">
        <v>578.23</v>
      </c>
      <c r="G156" s="19">
        <v>534.54</v>
      </c>
      <c r="H156" s="19">
        <v>526</v>
      </c>
      <c r="I156" s="19">
        <v>572.61</v>
      </c>
      <c r="J156" s="19">
        <v>595.13</v>
      </c>
      <c r="K156" s="19">
        <v>574.20000000000005</v>
      </c>
      <c r="L156" s="19">
        <v>609.38</v>
      </c>
      <c r="M156" s="19">
        <v>732.37</v>
      </c>
      <c r="N156" s="20">
        <f>SUM(B156:M156)</f>
        <v>7320.0899999999992</v>
      </c>
      <c r="O156" s="20">
        <f>N156/12</f>
        <v>610.00749999999994</v>
      </c>
      <c r="P156" s="21">
        <v>610.01</v>
      </c>
      <c r="Q156" s="22">
        <v>2.8899999999999999E-2</v>
      </c>
      <c r="R156" s="17">
        <f>P156*Q156+P156</f>
        <v>627.63928899999996</v>
      </c>
      <c r="S156" s="17">
        <f>R156*12</f>
        <v>7531.6714679999995</v>
      </c>
    </row>
    <row r="157" spans="1:19" ht="12.75" x14ac:dyDescent="0.2">
      <c r="A157" s="18" t="s">
        <v>64</v>
      </c>
      <c r="B157" s="19">
        <v>4217.1000000000004</v>
      </c>
      <c r="C157" s="19">
        <v>4515.45</v>
      </c>
      <c r="D157" s="19">
        <v>3932.15</v>
      </c>
      <c r="E157" s="19">
        <v>3057.1</v>
      </c>
      <c r="F157" s="19">
        <v>3090.7</v>
      </c>
      <c r="G157" s="19">
        <v>1582.2</v>
      </c>
      <c r="H157" s="19">
        <v>1846.1</v>
      </c>
      <c r="I157" s="19">
        <v>1779.2</v>
      </c>
      <c r="J157" s="19">
        <v>1778.4</v>
      </c>
      <c r="K157" s="19">
        <v>1794.2</v>
      </c>
      <c r="L157" s="19">
        <v>1795</v>
      </c>
      <c r="M157" s="19">
        <v>1825.6</v>
      </c>
      <c r="N157" s="20">
        <f>SUM(B157:M157)</f>
        <v>31213.200000000001</v>
      </c>
      <c r="O157" s="20">
        <f>N157/12</f>
        <v>2601.1</v>
      </c>
      <c r="P157" s="21">
        <v>2601.1</v>
      </c>
      <c r="Q157" s="22">
        <v>2.8899999999999999E-2</v>
      </c>
      <c r="R157" s="17">
        <f>P157*Q157+P157</f>
        <v>2676.2717899999998</v>
      </c>
      <c r="S157" s="17">
        <f>R157*12</f>
        <v>32115.261479999997</v>
      </c>
    </row>
    <row r="158" spans="1:19" ht="12.75" x14ac:dyDescent="0.2">
      <c r="A158" s="18" t="s">
        <v>65</v>
      </c>
      <c r="B158" s="19">
        <v>27835.7</v>
      </c>
      <c r="C158" s="19">
        <v>117.89</v>
      </c>
      <c r="D158" s="19">
        <v>0</v>
      </c>
      <c r="E158" s="19">
        <v>495.64</v>
      </c>
      <c r="F158" s="19">
        <v>722.42</v>
      </c>
      <c r="G158" s="19">
        <v>0</v>
      </c>
      <c r="H158" s="19">
        <v>247.06</v>
      </c>
      <c r="I158" s="19">
        <v>11682.26</v>
      </c>
      <c r="J158" s="19">
        <v>349.5</v>
      </c>
      <c r="K158" s="19">
        <v>5005.3</v>
      </c>
      <c r="L158" s="19">
        <v>23162.42</v>
      </c>
      <c r="M158" s="19">
        <v>6741.64</v>
      </c>
      <c r="N158" s="20">
        <f>SUM(B158:M158)</f>
        <v>76359.83</v>
      </c>
      <c r="O158" s="20">
        <f>N158/12</f>
        <v>6363.3191666666671</v>
      </c>
      <c r="P158" s="21">
        <v>6363.32</v>
      </c>
      <c r="Q158" s="22">
        <v>2.8899999999999999E-2</v>
      </c>
      <c r="R158" s="17">
        <f>P158*Q158+P158</f>
        <v>6547.2199479999999</v>
      </c>
      <c r="S158" s="17">
        <f>R158*12</f>
        <v>78566.639376000006</v>
      </c>
    </row>
    <row r="159" spans="1:19" x14ac:dyDescent="0.2">
      <c r="A159" s="23" t="s">
        <v>69</v>
      </c>
      <c r="B159" s="24">
        <f>SUM(B156:B158)</f>
        <v>32783.31</v>
      </c>
      <c r="C159" s="24">
        <f t="shared" ref="C159:M159" si="53">SUM(C156:C158)</f>
        <v>5385.08</v>
      </c>
      <c r="D159" s="24">
        <f t="shared" si="53"/>
        <v>4504.95</v>
      </c>
      <c r="E159" s="24">
        <f t="shared" si="53"/>
        <v>4095.3199999999997</v>
      </c>
      <c r="F159" s="24">
        <f t="shared" si="53"/>
        <v>4391.3499999999995</v>
      </c>
      <c r="G159" s="24">
        <f t="shared" si="53"/>
        <v>2116.7399999999998</v>
      </c>
      <c r="H159" s="24">
        <f t="shared" si="53"/>
        <v>2619.16</v>
      </c>
      <c r="I159" s="24">
        <f t="shared" si="53"/>
        <v>14034.07</v>
      </c>
      <c r="J159" s="24">
        <f t="shared" si="53"/>
        <v>2723.03</v>
      </c>
      <c r="K159" s="24">
        <f t="shared" si="53"/>
        <v>7373.7000000000007</v>
      </c>
      <c r="L159" s="24">
        <f t="shared" si="53"/>
        <v>25566.799999999999</v>
      </c>
      <c r="M159" s="24">
        <f t="shared" si="53"/>
        <v>9299.61</v>
      </c>
      <c r="N159" s="26">
        <f>SUM(B159:M159)</f>
        <v>114893.11999999998</v>
      </c>
      <c r="O159" s="26">
        <f>N159/12</f>
        <v>9574.4266666666645</v>
      </c>
      <c r="P159" s="26">
        <f>SUM(P156:P158)</f>
        <v>9574.43</v>
      </c>
      <c r="Q159" s="8"/>
      <c r="R159" s="25">
        <f>SUM(R156:R158)</f>
        <v>9851.1310269999994</v>
      </c>
      <c r="S159" s="25">
        <f>SUM(S156:S158)</f>
        <v>118213.57232400001</v>
      </c>
    </row>
    <row r="160" spans="1:19" x14ac:dyDescent="0.2">
      <c r="A160" s="29" t="s">
        <v>70</v>
      </c>
      <c r="B160" s="24">
        <f t="shared" ref="B160:P160" si="54">B29+B63+B83+B86+B92+B100+B108+B112+B122+B129+B134+B137+B145+B148+B151+B154+B159</f>
        <v>456784.25000000006</v>
      </c>
      <c r="C160" s="24">
        <f t="shared" si="54"/>
        <v>459414.4</v>
      </c>
      <c r="D160" s="24">
        <f t="shared" si="54"/>
        <v>379635.95999999996</v>
      </c>
      <c r="E160" s="24">
        <f t="shared" si="54"/>
        <v>369421.71</v>
      </c>
      <c r="F160" s="24">
        <f t="shared" si="54"/>
        <v>428476.84999999992</v>
      </c>
      <c r="G160" s="24">
        <f t="shared" si="54"/>
        <v>370963.29000000004</v>
      </c>
      <c r="H160" s="24">
        <f t="shared" si="54"/>
        <v>679002.85000000009</v>
      </c>
      <c r="I160" s="24">
        <f t="shared" si="54"/>
        <v>387801.56</v>
      </c>
      <c r="J160" s="24">
        <f t="shared" si="54"/>
        <v>416008.80000000005</v>
      </c>
      <c r="K160" s="24">
        <f t="shared" si="54"/>
        <v>467724.92</v>
      </c>
      <c r="L160" s="24">
        <f t="shared" si="54"/>
        <v>427161.83999999997</v>
      </c>
      <c r="M160" s="24">
        <f t="shared" si="54"/>
        <v>363699.75999999995</v>
      </c>
      <c r="N160" s="24">
        <f t="shared" si="54"/>
        <v>5206096.1900000004</v>
      </c>
      <c r="O160" s="24">
        <f t="shared" si="54"/>
        <v>433841.34916666662</v>
      </c>
      <c r="P160" s="24">
        <f t="shared" si="54"/>
        <v>432924.13606982626</v>
      </c>
      <c r="Q160" s="24"/>
      <c r="R160" s="24">
        <f>R29+R63+R83+R86+R92+R100+R108+R112+R122+R129+R134+R137+R145+R148+R151+R159</f>
        <v>446784.97556764504</v>
      </c>
      <c r="S160" s="24">
        <f>S29+S63+S83+S86+S92+S100+S108+S112+S122+S129+S134+S137+S145+S148+S151+S159</f>
        <v>5361419.7068117429</v>
      </c>
    </row>
    <row r="161" spans="1:29" x14ac:dyDescent="0.2">
      <c r="P161" s="66" t="s">
        <v>161</v>
      </c>
      <c r="Q161" s="66"/>
      <c r="R161" s="30">
        <f>S161/12</f>
        <v>96416.666666666672</v>
      </c>
      <c r="S161" s="30">
        <v>1157000</v>
      </c>
    </row>
    <row r="162" spans="1:29" x14ac:dyDescent="0.2">
      <c r="P162" s="67" t="s">
        <v>162</v>
      </c>
      <c r="Q162" s="67"/>
      <c r="R162" s="31">
        <f>R160-R161</f>
        <v>350368.30890097836</v>
      </c>
      <c r="S162" s="31">
        <f>S160-S161</f>
        <v>4204419.7068117429</v>
      </c>
    </row>
    <row r="163" spans="1:29" x14ac:dyDescent="0.2">
      <c r="P163" s="3"/>
      <c r="R163" s="7"/>
      <c r="S163" s="7"/>
    </row>
    <row r="164" spans="1:29" ht="24" x14ac:dyDescent="0.2">
      <c r="A164" s="45" t="s">
        <v>167</v>
      </c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6" t="s">
        <v>71</v>
      </c>
      <c r="O164" s="46" t="s">
        <v>72</v>
      </c>
      <c r="P164" s="46" t="s">
        <v>0</v>
      </c>
      <c r="Q164" s="46" t="s">
        <v>74</v>
      </c>
      <c r="R164" s="46" t="s">
        <v>75</v>
      </c>
      <c r="S164" s="48" t="s">
        <v>176</v>
      </c>
      <c r="T164" s="3"/>
      <c r="U164" s="2"/>
      <c r="V164" s="3"/>
      <c r="W164" s="7"/>
      <c r="X164" s="7"/>
    </row>
    <row r="165" spans="1:29" ht="12.75" customHeight="1" x14ac:dyDescent="0.2">
      <c r="A165" s="6" t="s">
        <v>156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17">
        <v>266050</v>
      </c>
      <c r="O165" s="17">
        <f>N165*12</f>
        <v>3192600</v>
      </c>
      <c r="P165" s="17">
        <f>N165/886*1.15</f>
        <v>345.32449209932275</v>
      </c>
      <c r="Q165" s="17">
        <f>P165*0.05</f>
        <v>17.266224604966137</v>
      </c>
      <c r="R165" s="17">
        <f>P165+Q165</f>
        <v>362.59071670428887</v>
      </c>
      <c r="S165" s="64">
        <f>(R166/R165)-1</f>
        <v>0.53649680724542415</v>
      </c>
      <c r="T165" s="3"/>
      <c r="U165" s="2"/>
      <c r="V165" s="3"/>
      <c r="W165" s="4"/>
      <c r="X165" s="4"/>
    </row>
    <row r="166" spans="1:29" x14ac:dyDescent="0.2">
      <c r="A166" s="6" t="s">
        <v>157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17">
        <f>R160-38000</f>
        <v>408784.97556764504</v>
      </c>
      <c r="O166" s="17">
        <f>N166*12</f>
        <v>4905419.706811741</v>
      </c>
      <c r="P166" s="17">
        <f>N166/886*1.15</f>
        <v>530.58997957425709</v>
      </c>
      <c r="Q166" s="17">
        <f>P166*0.05</f>
        <v>26.529498978712855</v>
      </c>
      <c r="R166" s="17">
        <f>P166+Q166</f>
        <v>557.11947855296989</v>
      </c>
      <c r="S166" s="64"/>
      <c r="T166" s="3"/>
      <c r="U166" s="2"/>
      <c r="V166" s="3"/>
      <c r="W166" s="4"/>
      <c r="X166" s="4"/>
    </row>
    <row r="167" spans="1:29" x14ac:dyDescent="0.2">
      <c r="A167" s="5" t="s">
        <v>73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44">
        <f>N166-N165</f>
        <v>142734.97556764504</v>
      </c>
      <c r="O167" s="44">
        <f>O166-O165</f>
        <v>1712819.706811741</v>
      </c>
      <c r="P167" s="44">
        <f>P166-P165</f>
        <v>185.26548747493433</v>
      </c>
      <c r="Q167" s="44">
        <f>Q166-Q165</f>
        <v>9.263274373746718</v>
      </c>
      <c r="R167" s="44">
        <f>R166-R165</f>
        <v>194.52876184868103</v>
      </c>
      <c r="S167" s="64"/>
      <c r="T167" s="3"/>
      <c r="U167" s="2"/>
      <c r="V167" s="3"/>
      <c r="W167" s="4"/>
      <c r="X167" s="4"/>
    </row>
    <row r="168" spans="1:29" ht="30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5"/>
      <c r="M168" s="56"/>
      <c r="N168" s="58" t="s">
        <v>160</v>
      </c>
      <c r="O168" s="59"/>
      <c r="P168" s="59"/>
      <c r="Q168" s="59"/>
      <c r="R168" s="59"/>
      <c r="S168" s="60"/>
      <c r="X168" s="2"/>
      <c r="Y168" s="2"/>
      <c r="Z168" s="4"/>
      <c r="AA168" s="4"/>
      <c r="AC168" s="4"/>
    </row>
    <row r="169" spans="1:29" x14ac:dyDescent="0.2">
      <c r="N169" s="1"/>
      <c r="O169" s="1"/>
      <c r="P169" s="1"/>
      <c r="Q169" s="1"/>
      <c r="R169" s="1"/>
      <c r="S169" s="1"/>
      <c r="X169" s="2"/>
      <c r="Y169" s="2"/>
      <c r="Z169" s="4"/>
      <c r="AA169" s="4"/>
    </row>
    <row r="170" spans="1:29" ht="24" x14ac:dyDescent="0.2">
      <c r="A170" s="5" t="s">
        <v>168</v>
      </c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43" t="s">
        <v>71</v>
      </c>
      <c r="O170" s="43" t="s">
        <v>72</v>
      </c>
      <c r="P170" s="43" t="s">
        <v>0</v>
      </c>
      <c r="Q170" s="47" t="s">
        <v>74</v>
      </c>
      <c r="R170" s="43" t="s">
        <v>75</v>
      </c>
      <c r="S170" s="48" t="s">
        <v>176</v>
      </c>
      <c r="T170" s="3"/>
      <c r="U170" s="4"/>
      <c r="V170" s="4"/>
    </row>
    <row r="171" spans="1:29" ht="12.75" customHeight="1" x14ac:dyDescent="0.2">
      <c r="A171" s="6" t="s">
        <v>156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17">
        <f>N165</f>
        <v>266050</v>
      </c>
      <c r="O171" s="17">
        <f>N171*12</f>
        <v>3192600</v>
      </c>
      <c r="P171" s="17">
        <f>N171/886*1.15</f>
        <v>345.32449209932275</v>
      </c>
      <c r="Q171" s="17">
        <f>P171*0.05</f>
        <v>17.266224604966137</v>
      </c>
      <c r="R171" s="17">
        <f>P171+Q171</f>
        <v>362.59071670428887</v>
      </c>
      <c r="S171" s="64">
        <f>(R172/R171)-1</f>
        <v>0.17409625597060097</v>
      </c>
      <c r="T171" s="3"/>
      <c r="U171" s="4"/>
      <c r="V171" s="4"/>
    </row>
    <row r="172" spans="1:29" x14ac:dyDescent="0.2">
      <c r="A172" s="6" t="s">
        <v>157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17">
        <f>R162-38000</f>
        <v>312368.30890097836</v>
      </c>
      <c r="O172" s="17">
        <f>N172*12</f>
        <v>3748419.7068117401</v>
      </c>
      <c r="P172" s="17">
        <f>N172/886*1.15</f>
        <v>405.4441932687642</v>
      </c>
      <c r="Q172" s="17">
        <f>P172*0.05</f>
        <v>20.272209663438211</v>
      </c>
      <c r="R172" s="17">
        <f>P172+Q172</f>
        <v>425.71640293220241</v>
      </c>
      <c r="S172" s="64"/>
      <c r="T172" s="3"/>
      <c r="U172" s="2"/>
      <c r="V172" s="3"/>
      <c r="W172" s="4"/>
      <c r="X172" s="4"/>
    </row>
    <row r="173" spans="1:29" x14ac:dyDescent="0.2">
      <c r="A173" s="5" t="s">
        <v>73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44">
        <f>N172-N171</f>
        <v>46318.308900978358</v>
      </c>
      <c r="O173" s="44">
        <f>O172-O171</f>
        <v>555819.70681174006</v>
      </c>
      <c r="P173" s="44">
        <f>P172-P171</f>
        <v>60.119701169441441</v>
      </c>
      <c r="Q173" s="44">
        <f>Q172-Q171</f>
        <v>3.0059850584720742</v>
      </c>
      <c r="R173" s="44">
        <f>R172-R171</f>
        <v>63.125686227913548</v>
      </c>
      <c r="S173" s="64"/>
      <c r="T173" s="3"/>
      <c r="U173" s="2"/>
      <c r="V173" s="3"/>
      <c r="W173" s="4"/>
      <c r="X173" s="4"/>
    </row>
    <row r="174" spans="1:29" ht="39.950000000000003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3"/>
      <c r="M174" s="54"/>
      <c r="N174" s="61" t="s">
        <v>190</v>
      </c>
      <c r="O174" s="62"/>
      <c r="P174" s="62"/>
      <c r="Q174" s="62"/>
      <c r="R174" s="62"/>
      <c r="S174" s="63"/>
      <c r="X174" s="2"/>
      <c r="Y174" s="2"/>
      <c r="Z174" s="4"/>
      <c r="AA174" s="4"/>
    </row>
    <row r="175" spans="1:29" x14ac:dyDescent="0.2">
      <c r="N175" s="1"/>
      <c r="O175" s="1"/>
      <c r="P175" s="1"/>
      <c r="Q175" s="1"/>
      <c r="R175" s="1"/>
      <c r="S175" s="1"/>
      <c r="V175" s="2"/>
      <c r="W175" s="7"/>
      <c r="X175" s="2"/>
      <c r="Y175" s="3"/>
      <c r="Z175" s="4"/>
      <c r="AA175" s="4"/>
    </row>
    <row r="176" spans="1:29" ht="24" x14ac:dyDescent="0.2">
      <c r="A176" s="5" t="s">
        <v>169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43" t="s">
        <v>71</v>
      </c>
      <c r="O176" s="43" t="s">
        <v>72</v>
      </c>
      <c r="P176" s="43" t="s">
        <v>0</v>
      </c>
      <c r="Q176" s="47" t="s">
        <v>74</v>
      </c>
      <c r="R176" s="43" t="s">
        <v>75</v>
      </c>
      <c r="S176" s="48" t="s">
        <v>176</v>
      </c>
      <c r="T176" s="2"/>
      <c r="U176" s="4"/>
      <c r="V176" s="4"/>
    </row>
    <row r="177" spans="1:24" ht="12.75" customHeight="1" x14ac:dyDescent="0.2">
      <c r="A177" s="6" t="s">
        <v>156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17">
        <f>N171</f>
        <v>266050</v>
      </c>
      <c r="O177" s="17">
        <f>N177*12</f>
        <v>3192600</v>
      </c>
      <c r="P177" s="17">
        <f>N177/886*1.15</f>
        <v>345.32449209932275</v>
      </c>
      <c r="Q177" s="17">
        <f>P177*0.05</f>
        <v>17.266224604966137</v>
      </c>
      <c r="R177" s="17">
        <f>P177+Q177</f>
        <v>362.59071670428887</v>
      </c>
      <c r="S177" s="64">
        <f>(R178/R177)-1</f>
        <v>-4.1308837461784265E-9</v>
      </c>
      <c r="T177" s="2"/>
      <c r="U177" s="4"/>
      <c r="V177" s="4"/>
    </row>
    <row r="178" spans="1:24" x14ac:dyDescent="0.2">
      <c r="A178" s="6" t="s">
        <v>157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17">
        <f>N172-46318.31</f>
        <v>266049.99890097836</v>
      </c>
      <c r="O178" s="17">
        <f>N178*12</f>
        <v>3192599.9868117403</v>
      </c>
      <c r="P178" s="17">
        <f>N178/886*1.15</f>
        <v>345.32449067282738</v>
      </c>
      <c r="Q178" s="17">
        <f>P178*0.05</f>
        <v>17.26622453364137</v>
      </c>
      <c r="R178" s="17">
        <f>P178+Q178</f>
        <v>362.59071520646876</v>
      </c>
      <c r="S178" s="64"/>
      <c r="T178" s="2"/>
      <c r="U178" s="2"/>
      <c r="V178" s="3"/>
      <c r="W178" s="4"/>
      <c r="X178" s="4"/>
    </row>
    <row r="179" spans="1:24" x14ac:dyDescent="0.2">
      <c r="A179" s="5" t="s">
        <v>73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44">
        <f>N178-N177</f>
        <v>-1.099021639674902E-3</v>
      </c>
      <c r="O179" s="44">
        <f>O178-O177</f>
        <v>-1.3188259676098824E-2</v>
      </c>
      <c r="P179" s="44">
        <f>P178-P177</f>
        <v>-1.4264953733800212E-6</v>
      </c>
      <c r="Q179" s="44">
        <f>Q178-Q177</f>
        <v>-7.1324766537372852E-8</v>
      </c>
      <c r="R179" s="44">
        <f>R178-R177</f>
        <v>-1.4978201079429709E-6</v>
      </c>
      <c r="S179" s="64"/>
      <c r="T179" s="2"/>
      <c r="U179" s="4"/>
      <c r="V179" s="4"/>
    </row>
    <row r="180" spans="1:24" ht="39.950000000000003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3"/>
      <c r="M180" s="53"/>
      <c r="N180" s="61" t="s">
        <v>191</v>
      </c>
      <c r="O180" s="62"/>
      <c r="P180" s="62"/>
      <c r="Q180" s="62"/>
      <c r="R180" s="62"/>
      <c r="S180" s="63"/>
    </row>
    <row r="182" spans="1:24" x14ac:dyDescent="0.2">
      <c r="B182" s="4"/>
      <c r="G182" s="4"/>
    </row>
    <row r="184" spans="1:24" x14ac:dyDescent="0.2">
      <c r="N184" s="7"/>
      <c r="P184" s="1"/>
      <c r="Q184" s="1"/>
      <c r="R184" s="1"/>
      <c r="S184" s="1"/>
    </row>
  </sheetData>
  <sheetProtection algorithmName="SHA-512" hashValue="w5LhX4vXP7ZkQGjSOcz9rg2VH8MoBN/LNrrOd9UPkXtt4rbSebW9bzGfx31F6cd//x8D2YqJDz9Ql1GmDyOZwA==" saltValue="0df3J6XfMp7AFCjnfa/3dQ==" spinCount="100000" sheet="1" objects="1" scenarios="1"/>
  <mergeCells count="26">
    <mergeCell ref="A1:S1"/>
    <mergeCell ref="R2:S2"/>
    <mergeCell ref="B2:B3"/>
    <mergeCell ref="C2:C3"/>
    <mergeCell ref="G2:G3"/>
    <mergeCell ref="F2:F3"/>
    <mergeCell ref="H2:H3"/>
    <mergeCell ref="I2:I3"/>
    <mergeCell ref="Q2:Q3"/>
    <mergeCell ref="L2:L3"/>
    <mergeCell ref="M2:M3"/>
    <mergeCell ref="D2:D3"/>
    <mergeCell ref="E2:E3"/>
    <mergeCell ref="O2:O3"/>
    <mergeCell ref="J2:J3"/>
    <mergeCell ref="K2:K3"/>
    <mergeCell ref="N168:S168"/>
    <mergeCell ref="N174:S174"/>
    <mergeCell ref="N180:S180"/>
    <mergeCell ref="S165:S167"/>
    <mergeCell ref="P2:P3"/>
    <mergeCell ref="P161:Q161"/>
    <mergeCell ref="P162:Q162"/>
    <mergeCell ref="N2:N3"/>
    <mergeCell ref="S177:S179"/>
    <mergeCell ref="S171:S173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11.42578125" defaultRowHeight="12" x14ac:dyDescent="0.2"/>
  <cols>
    <col min="1" max="1" width="64.140625" style="1" customWidth="1"/>
    <col min="2" max="4" width="15.7109375" style="1" customWidth="1"/>
    <col min="5" max="12" width="11.42578125" style="1" customWidth="1"/>
    <col min="13" max="13" width="12.85546875" style="2" bestFit="1" customWidth="1"/>
    <col min="14" max="14" width="14.5703125" style="2" bestFit="1" customWidth="1"/>
    <col min="15" max="15" width="14.5703125" style="2" customWidth="1"/>
    <col min="16" max="16" width="11.7109375" style="3" customWidth="1"/>
    <col min="17" max="18" width="12.7109375" style="4" customWidth="1"/>
    <col min="19" max="16384" width="11.42578125" style="1"/>
  </cols>
  <sheetData>
    <row r="1" spans="1:18" ht="15.75" x14ac:dyDescent="0.25">
      <c r="A1" s="73" t="s">
        <v>165</v>
      </c>
      <c r="B1" s="73"/>
      <c r="C1" s="73"/>
      <c r="D1" s="73"/>
      <c r="M1" s="1"/>
      <c r="N1" s="1"/>
      <c r="O1" s="1"/>
      <c r="P1" s="1"/>
      <c r="Q1" s="1"/>
      <c r="R1" s="1"/>
    </row>
    <row r="2" spans="1:18" ht="45.75" customHeight="1" x14ac:dyDescent="0.2">
      <c r="A2" s="42" t="s">
        <v>3</v>
      </c>
      <c r="B2" s="41" t="s">
        <v>170</v>
      </c>
      <c r="C2" s="35" t="s">
        <v>68</v>
      </c>
      <c r="D2" s="34"/>
      <c r="M2" s="1"/>
      <c r="N2" s="1"/>
      <c r="O2" s="1"/>
      <c r="P2" s="1"/>
      <c r="Q2" s="1"/>
      <c r="R2" s="1"/>
    </row>
    <row r="3" spans="1:18" ht="12.75" x14ac:dyDescent="0.2">
      <c r="A3" s="36" t="s">
        <v>164</v>
      </c>
      <c r="B3" s="36"/>
      <c r="C3" s="36"/>
      <c r="D3" s="34"/>
      <c r="M3" s="1"/>
      <c r="N3" s="1"/>
      <c r="O3" s="1"/>
      <c r="P3" s="1"/>
      <c r="Q3" s="1"/>
      <c r="R3" s="1"/>
    </row>
    <row r="4" spans="1:18" ht="12.75" x14ac:dyDescent="0.2">
      <c r="A4" s="49" t="s">
        <v>177</v>
      </c>
      <c r="B4" s="50">
        <v>10000</v>
      </c>
      <c r="C4" s="38">
        <f>B4*10</f>
        <v>100000</v>
      </c>
      <c r="D4" s="34"/>
      <c r="M4" s="1"/>
      <c r="N4" s="1"/>
      <c r="O4" s="1"/>
      <c r="P4" s="1"/>
      <c r="Q4" s="1"/>
      <c r="R4" s="1"/>
    </row>
    <row r="5" spans="1:18" ht="12.75" x14ac:dyDescent="0.2">
      <c r="A5" s="49" t="s">
        <v>171</v>
      </c>
      <c r="B5" s="50">
        <v>20000</v>
      </c>
      <c r="C5" s="38">
        <f>B5</f>
        <v>20000</v>
      </c>
      <c r="D5" s="34"/>
      <c r="M5" s="1"/>
      <c r="N5" s="1"/>
      <c r="O5" s="1"/>
      <c r="P5" s="1"/>
      <c r="Q5" s="1"/>
      <c r="R5" s="1"/>
    </row>
    <row r="6" spans="1:18" ht="12.75" x14ac:dyDescent="0.2">
      <c r="A6" s="49" t="s">
        <v>179</v>
      </c>
      <c r="B6" s="50">
        <f>(10580*1.25)/12</f>
        <v>1102.0833333333333</v>
      </c>
      <c r="C6" s="38">
        <f>B6*10</f>
        <v>11020.833333333332</v>
      </c>
      <c r="D6" s="34"/>
      <c r="M6" s="1"/>
      <c r="N6" s="1"/>
      <c r="O6" s="1"/>
      <c r="P6" s="1"/>
      <c r="Q6" s="1"/>
      <c r="R6" s="1"/>
    </row>
    <row r="7" spans="1:18" ht="12.75" x14ac:dyDescent="0.2">
      <c r="A7" s="49" t="s">
        <v>182</v>
      </c>
      <c r="B7" s="50">
        <f>56000/2/12</f>
        <v>2333.3333333333335</v>
      </c>
      <c r="C7" s="38">
        <f>B7*10</f>
        <v>23333.333333333336</v>
      </c>
      <c r="D7" s="34"/>
      <c r="M7" s="1"/>
      <c r="N7" s="1"/>
      <c r="O7" s="1"/>
      <c r="P7" s="1"/>
      <c r="Q7" s="1"/>
      <c r="R7" s="1"/>
    </row>
    <row r="8" spans="1:18" ht="12.75" x14ac:dyDescent="0.2">
      <c r="A8" s="49" t="s">
        <v>180</v>
      </c>
      <c r="B8" s="50">
        <f>(8950*1.25)/12</f>
        <v>932.29166666666663</v>
      </c>
      <c r="C8" s="38">
        <f>B8*12</f>
        <v>11187.5</v>
      </c>
      <c r="D8" s="34"/>
      <c r="M8" s="1"/>
      <c r="N8" s="1"/>
      <c r="O8" s="1"/>
      <c r="P8" s="1"/>
      <c r="Q8" s="1"/>
      <c r="R8" s="1"/>
    </row>
    <row r="9" spans="1:18" ht="12.75" x14ac:dyDescent="0.2">
      <c r="A9" s="49" t="s">
        <v>181</v>
      </c>
      <c r="B9" s="50">
        <f>(9225.93*1.25)/12</f>
        <v>961.03437500000007</v>
      </c>
      <c r="C9" s="38">
        <f>B9*12</f>
        <v>11532.4125</v>
      </c>
      <c r="D9" s="34"/>
      <c r="M9" s="1"/>
      <c r="N9" s="1"/>
      <c r="O9" s="1"/>
      <c r="P9" s="1"/>
      <c r="Q9" s="1"/>
      <c r="R9" s="1"/>
    </row>
    <row r="10" spans="1:18" ht="12.75" x14ac:dyDescent="0.2">
      <c r="A10" s="49" t="s">
        <v>183</v>
      </c>
      <c r="B10" s="50">
        <f>10000/12</f>
        <v>833.33333333333337</v>
      </c>
      <c r="C10" s="38">
        <f>B10*12</f>
        <v>10000</v>
      </c>
      <c r="D10" s="34"/>
      <c r="M10" s="1"/>
      <c r="N10" s="1"/>
      <c r="O10" s="1"/>
      <c r="P10" s="1"/>
      <c r="Q10" s="1"/>
      <c r="R10" s="1"/>
    </row>
    <row r="11" spans="1:18" ht="12.75" x14ac:dyDescent="0.2">
      <c r="A11" s="49" t="s">
        <v>184</v>
      </c>
      <c r="B11" s="50">
        <f>20000/12</f>
        <v>1666.6666666666667</v>
      </c>
      <c r="C11" s="38">
        <f>B11*12</f>
        <v>20000</v>
      </c>
      <c r="D11" s="34"/>
      <c r="M11" s="1"/>
      <c r="N11" s="1"/>
      <c r="O11" s="1"/>
      <c r="P11" s="1"/>
      <c r="Q11" s="1"/>
      <c r="R11" s="1"/>
    </row>
    <row r="12" spans="1:18" ht="12.75" x14ac:dyDescent="0.2">
      <c r="A12" s="49" t="s">
        <v>178</v>
      </c>
      <c r="B12" s="50">
        <f>(37800+40000)/12</f>
        <v>6483.333333333333</v>
      </c>
      <c r="C12" s="38">
        <f>B12*12</f>
        <v>77800</v>
      </c>
      <c r="D12" s="34"/>
      <c r="M12" s="1"/>
      <c r="N12" s="1"/>
      <c r="O12" s="1"/>
      <c r="P12" s="1"/>
      <c r="Q12" s="1"/>
      <c r="R12" s="1"/>
    </row>
    <row r="13" spans="1:18" ht="12.75" x14ac:dyDescent="0.2">
      <c r="A13" s="39" t="s">
        <v>69</v>
      </c>
      <c r="B13" s="37">
        <f>SUM(B4:B12)</f>
        <v>44312.076041666667</v>
      </c>
      <c r="C13" s="40">
        <f>SUM(C4:C12)</f>
        <v>284874.07916666666</v>
      </c>
      <c r="D13" s="34"/>
      <c r="E13" s="34"/>
      <c r="M13" s="1"/>
      <c r="N13" s="1"/>
      <c r="O13" s="1"/>
      <c r="P13" s="1"/>
      <c r="Q13" s="1"/>
      <c r="R13" s="1"/>
    </row>
    <row r="14" spans="1:18" ht="12.75" x14ac:dyDescent="0.2">
      <c r="A14" s="34"/>
      <c r="B14" s="34"/>
      <c r="C14" s="34"/>
      <c r="D14" s="34"/>
      <c r="E14" s="34"/>
      <c r="F14" s="34"/>
      <c r="G14" s="34"/>
      <c r="H14" s="34"/>
      <c r="Q14" s="7"/>
      <c r="R14" s="7"/>
    </row>
    <row r="15" spans="1:18" x14ac:dyDescent="0.2">
      <c r="A15" s="33" t="s">
        <v>167</v>
      </c>
      <c r="B15" s="33" t="s">
        <v>71</v>
      </c>
      <c r="C15" s="33" t="s">
        <v>72</v>
      </c>
      <c r="D15" s="33" t="s">
        <v>172</v>
      </c>
      <c r="E15" s="33" t="s">
        <v>189</v>
      </c>
      <c r="J15" s="2"/>
      <c r="K15" s="2"/>
      <c r="L15" s="2"/>
      <c r="M15" s="3"/>
      <c r="N15" s="4"/>
      <c r="O15" s="4"/>
      <c r="P15" s="1"/>
      <c r="Q15" s="1"/>
      <c r="R15" s="1"/>
    </row>
    <row r="16" spans="1:18" x14ac:dyDescent="0.2">
      <c r="A16" s="6" t="s">
        <v>187</v>
      </c>
      <c r="B16" s="17">
        <f>B13</f>
        <v>44312.076041666667</v>
      </c>
      <c r="C16" s="17">
        <f>C13</f>
        <v>284874.07916666666</v>
      </c>
      <c r="D16" s="17">
        <f>C16/886*1.15</f>
        <v>369.7575519657637</v>
      </c>
      <c r="E16" s="17">
        <f>D16/12</f>
        <v>30.813129330480308</v>
      </c>
      <c r="J16" s="2"/>
      <c r="K16" s="2"/>
      <c r="L16" s="2"/>
      <c r="M16" s="3"/>
      <c r="N16" s="4"/>
      <c r="O16" s="4"/>
      <c r="P16" s="1"/>
      <c r="Q16" s="1"/>
      <c r="R16" s="1"/>
    </row>
    <row r="17" spans="1:18" x14ac:dyDescent="0.2">
      <c r="A17" s="33" t="s">
        <v>73</v>
      </c>
      <c r="B17" s="44">
        <f>B16</f>
        <v>44312.076041666667</v>
      </c>
      <c r="C17" s="44">
        <f>C16</f>
        <v>284874.07916666666</v>
      </c>
      <c r="D17" s="44">
        <f>D16</f>
        <v>369.7575519657637</v>
      </c>
      <c r="J17" s="2"/>
      <c r="K17" s="2"/>
      <c r="L17" s="2"/>
      <c r="M17" s="3"/>
      <c r="N17" s="4"/>
      <c r="O17" s="4"/>
      <c r="P17" s="1"/>
      <c r="Q17" s="1"/>
      <c r="R17" s="1"/>
    </row>
    <row r="18" spans="1:18" x14ac:dyDescent="0.2">
      <c r="A18" s="1" t="s">
        <v>173</v>
      </c>
      <c r="I18" s="2"/>
      <c r="J18" s="2"/>
      <c r="K18" s="2"/>
      <c r="L18" s="3"/>
      <c r="M18" s="4"/>
      <c r="N18" s="4"/>
      <c r="O18" s="1"/>
      <c r="P18" s="1"/>
      <c r="Q18" s="1"/>
      <c r="R18" s="1"/>
    </row>
    <row r="19" spans="1:18" x14ac:dyDescent="0.2">
      <c r="I19" s="2"/>
      <c r="J19" s="2"/>
      <c r="K19" s="2"/>
      <c r="L19" s="3"/>
      <c r="M19" s="4"/>
      <c r="N19" s="4"/>
      <c r="O19" s="1"/>
      <c r="P19" s="1"/>
      <c r="Q19" s="1"/>
      <c r="R19" s="1"/>
    </row>
    <row r="20" spans="1:18" x14ac:dyDescent="0.2">
      <c r="A20" s="33" t="s">
        <v>168</v>
      </c>
      <c r="B20" s="33" t="s">
        <v>71</v>
      </c>
      <c r="C20" s="33" t="s">
        <v>72</v>
      </c>
      <c r="D20" s="33" t="s">
        <v>172</v>
      </c>
      <c r="I20" s="2"/>
      <c r="J20" s="2"/>
      <c r="K20" s="2"/>
      <c r="L20" s="3"/>
      <c r="M20" s="4"/>
      <c r="N20" s="4"/>
      <c r="O20" s="1"/>
      <c r="P20" s="1"/>
      <c r="Q20" s="1"/>
      <c r="R20" s="1"/>
    </row>
    <row r="21" spans="1:18" x14ac:dyDescent="0.2">
      <c r="A21" s="6" t="s">
        <v>187</v>
      </c>
      <c r="B21" s="17">
        <f>B17</f>
        <v>44312.076041666667</v>
      </c>
      <c r="C21" s="17">
        <f>C16</f>
        <v>284874.07916666666</v>
      </c>
      <c r="D21" s="17">
        <v>0</v>
      </c>
      <c r="I21" s="2"/>
      <c r="J21" s="2"/>
      <c r="K21" s="2"/>
      <c r="L21" s="3"/>
      <c r="M21" s="4"/>
      <c r="N21" s="4"/>
      <c r="O21" s="1"/>
      <c r="P21" s="1"/>
      <c r="Q21" s="1"/>
      <c r="R21" s="1"/>
    </row>
    <row r="22" spans="1:18" x14ac:dyDescent="0.2">
      <c r="A22" s="33" t="s">
        <v>73</v>
      </c>
      <c r="B22" s="44">
        <f>B21</f>
        <v>44312.076041666667</v>
      </c>
      <c r="C22" s="44">
        <f>C21</f>
        <v>284874.07916666666</v>
      </c>
      <c r="D22" s="44">
        <f>D21</f>
        <v>0</v>
      </c>
    </row>
    <row r="23" spans="1:18" x14ac:dyDescent="0.2">
      <c r="A23" s="1" t="s">
        <v>188</v>
      </c>
    </row>
  </sheetData>
  <mergeCells count="1">
    <mergeCell ref="A1:D1"/>
  </mergeCells>
  <printOptions horizontalCentered="1"/>
  <pageMargins left="0.19685039370078741" right="0.19685039370078741" top="0.78740157480314965" bottom="0.78740157480314965" header="0" footer="0"/>
  <pageSetup paperSize="9" scale="8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Previsão 2021 - Taxa Ordinária</vt:lpstr>
      <vt:lpstr>Previsão 2021 - Despesas Extras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EXATA CONTABILIDADE</dc:creator>
  <cp:lastModifiedBy>User</cp:lastModifiedBy>
  <cp:lastPrinted>2020-11-20T18:19:40Z</cp:lastPrinted>
  <dcterms:created xsi:type="dcterms:W3CDTF">2017-12-03T20:00:29Z</dcterms:created>
  <dcterms:modified xsi:type="dcterms:W3CDTF">2021-03-31T13:58:01Z</dcterms:modified>
</cp:coreProperties>
</file>